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\Desktop\"/>
    </mc:Choice>
  </mc:AlternateContent>
  <xr:revisionPtr revIDLastSave="0" documentId="13_ncr:1_{D9F2F018-002C-4422-94C1-D1B644C2451E}" xr6:coauthVersionLast="43" xr6:coauthVersionMax="43" xr10:uidLastSave="{00000000-0000-0000-0000-000000000000}"/>
  <workbookProtection workbookPassword="B692" lockStructure="1"/>
  <bookViews>
    <workbookView xWindow="-108" yWindow="-108" windowWidth="23256" windowHeight="12576" xr2:uid="{FB4796CF-619F-4785-9CA8-6296525442E1}"/>
  </bookViews>
  <sheets>
    <sheet name="LSP" sheetId="2" r:id="rId1"/>
    <sheet name="Sheet2" sheetId="5" state="hidden" r:id="rId2"/>
    <sheet name="Sheet1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2" l="1"/>
  <c r="F17" i="2" s="1"/>
  <c r="F27" i="2" s="1"/>
  <c r="G17" i="2" s="1"/>
  <c r="G27" i="2" s="1"/>
  <c r="H17" i="2" s="1"/>
  <c r="H27" i="2" s="1"/>
  <c r="I17" i="2" s="1"/>
  <c r="I27" i="2" s="1"/>
  <c r="N17" i="2"/>
  <c r="M27" i="2"/>
  <c r="N27" i="2"/>
  <c r="O17" i="2" s="1"/>
  <c r="O27" i="2" s="1"/>
  <c r="P17" i="2" s="1"/>
  <c r="P27" i="2" s="1"/>
  <c r="Q17" i="2" s="1"/>
  <c r="Q27" i="2" s="1"/>
  <c r="A2" i="5"/>
  <c r="A1" i="5"/>
  <c r="B32" i="2" l="1"/>
  <c r="E45" i="2" l="1"/>
  <c r="F35" i="2" s="1"/>
  <c r="I42" i="2"/>
  <c r="F41" i="2"/>
  <c r="G42" i="2"/>
  <c r="I43" i="2"/>
  <c r="E39" i="2"/>
  <c r="E42" i="2"/>
  <c r="G43" i="2"/>
  <c r="I41" i="2"/>
  <c r="F37" i="2"/>
  <c r="F43" i="2"/>
  <c r="E37" i="2"/>
  <c r="E43" i="2"/>
  <c r="E35" i="2"/>
  <c r="F44" i="2"/>
  <c r="H42" i="2"/>
  <c r="E41" i="2"/>
  <c r="E44" i="2"/>
  <c r="F39" i="2"/>
  <c r="F42" i="2"/>
  <c r="H43" i="2"/>
  <c r="H41" i="2"/>
  <c r="G41" i="2"/>
  <c r="E38" i="2"/>
  <c r="I44" i="2"/>
  <c r="G38" i="2"/>
  <c r="G37" i="2"/>
  <c r="H44" i="2"/>
  <c r="H38" i="2"/>
  <c r="I39" i="2"/>
  <c r="G44" i="2"/>
  <c r="G39" i="2"/>
  <c r="F38" i="2"/>
  <c r="H37" i="2"/>
  <c r="H39" i="2"/>
  <c r="I37" i="2"/>
  <c r="L36" i="2"/>
  <c r="K36" i="2" s="1"/>
  <c r="L33" i="2"/>
  <c r="K33" i="2" s="1"/>
  <c r="L48" i="2" l="1"/>
  <c r="F45" i="2"/>
  <c r="G35" i="2" s="1"/>
  <c r="G45" i="2" s="1"/>
  <c r="H35" i="2" s="1"/>
  <c r="H45" i="2" s="1"/>
  <c r="I35" i="2" s="1"/>
  <c r="K48" i="2" l="1"/>
  <c r="I38" i="2" l="1"/>
  <c r="L39" i="2" l="1"/>
  <c r="K39" i="2" s="1"/>
  <c r="I45" i="2"/>
  <c r="L42" i="2" s="1"/>
  <c r="L51" i="2" l="1"/>
  <c r="K51" i="2" s="1"/>
  <c r="K42" i="2"/>
  <c r="L45" i="2"/>
  <c r="K45" i="2" s="1"/>
</calcChain>
</file>

<file path=xl/sharedStrings.xml><?xml version="1.0" encoding="utf-8"?>
<sst xmlns="http://schemas.openxmlformats.org/spreadsheetml/2006/main" count="106" uniqueCount="55">
  <si>
    <t>การบันทึกบัญชีจากกฎหมาย 300 วัน เป็น 400 วัน</t>
  </si>
  <si>
    <t>หนี้สิน (สินทรัพย์) ผลประโยชน์ที่กำหนดไว้สุทธิ ณ ต้นปีงบประมาณ</t>
  </si>
  <si>
    <t>ต้นทุนบริการ</t>
  </si>
  <si>
    <t>ต้นทุนบริการปัจจุบัน</t>
  </si>
  <si>
    <t>ต้นทุนบริการในอดีต</t>
  </si>
  <si>
    <t>ดอกเบี้ยสุทธิจากหนี้สิน</t>
  </si>
  <si>
    <t>ผลกำไรและขาดทุนจากการประมาณการตามหลักคณิตศาสตร์ประกันภัย</t>
  </si>
  <si>
    <t>ผลกระทบจากการเปลี่ยนแปลงสมมติฐานด้านประชากรศาสตร์</t>
  </si>
  <si>
    <t>ผลกระทบจากการเปลี่ยนแปลงสมมติฐานด้านการเงิน</t>
  </si>
  <si>
    <t>ผลกระทบจากการปรับปรุงค่าประสบการณ์</t>
  </si>
  <si>
    <t>การจ่ายผลประโยชน์โดยตรงของนายจ้าง</t>
  </si>
  <si>
    <t>หนี้สิน (สินทรัพย์) ผลประโยชน์ที่กำหนดไว้สุทธิ ณ สิ้นปีงบประมาณ</t>
  </si>
  <si>
    <t>ปีงบประมาณ 2561</t>
  </si>
  <si>
    <t>Q1</t>
  </si>
  <si>
    <t>Q2</t>
  </si>
  <si>
    <t>Q3</t>
  </si>
  <si>
    <t>Q4</t>
  </si>
  <si>
    <t>การบันทึกบัญชีจากตัวเลขผลการคำนวณตามกฎหมาย 300 วัน เป็นกฎหมาย 400 วัน</t>
  </si>
  <si>
    <t>ไตรมาสที่ประกาศกฎหมาย 400 วัน</t>
  </si>
  <si>
    <t>-</t>
  </si>
  <si>
    <t>วิธีใช้ Worksheet</t>
  </si>
  <si>
    <t>ผลการประมาณการตามกฎหมาย 300 วัน ณ 31 ธันวาคม 2561</t>
  </si>
  <si>
    <t>ผลการประมาณการตามกฎหมาย 400 วัน ณ 31 ธันวาคม 2561</t>
  </si>
  <si>
    <t>ปีงบประมาณ 2562</t>
  </si>
  <si>
    <t>วิธีการบันทึกบัญชี</t>
  </si>
  <si>
    <t>วิธีที่ 1: รับรู้ผลกระทบใน P&amp;L และ OCI</t>
  </si>
  <si>
    <t>วิธีที่ 2: รับรู้ผลกระทบทั้งหมดใน P&amp;L</t>
  </si>
  <si>
    <t>ไตรมาสที่ 1</t>
  </si>
  <si>
    <t>ไตรมาสที่ 2</t>
  </si>
  <si>
    <t>ไตรมาสที่ 3</t>
  </si>
  <si>
    <t>ไตรมาสที่ 4</t>
  </si>
  <si>
    <t>ยังไม่ประกาศกฎหมาย 400 วัน</t>
  </si>
  <si>
    <t>การแบ่งผลกระทบ 400 วัน เป็น 2 ส่วน โดยรับรู้ใน Past Service Cost และ Other Comprehensive Income</t>
  </si>
  <si>
    <t>สาเหตุที่มีแบ่งผลกระทบออกเป็น 2 ส่วน โดยรับรู้ผลกระทบในต้นทุนบริการในอดีต (Past Service Cost) ในงบกำไรขาดทุน และผลกระทบจากการปรับปรุงค่าประสบการณ์ (Experience Adjustment) ซึ่งเป็นส่วนหนึ่งของผลกำไรขาดทุนจากการคำนวณตามหลักคณิตศาสตร์ประกันภัย (Actuarial Gains and Losses) ในงบกำไรขาดทุนเบ็ดเสร็จอื่น (Other Comprehensive Income) นั้น มีหลักเกณฑ์มาจาก ประเภทของพนักงานดังนี้</t>
  </si>
  <si>
    <t>สรุปคือ ผลกระทบจากการเปลี่ยนแปลงกฎหมายแรงงาน สำหรับพนักงานที่เพิ่งคำนวณครั้งแรก และพนักงานที่ควรจะเกษียณไปแล้ว แต่ยังไม่เกษียณ จะรับรู้เป็นผลกระทบจากการปรับปรุงค่าประสบการณ์ ในงบกำไรขาดทุนเบ็ดเสร็จอื่น ส่วนพนักงานที่เหลือจะรับรู้เป็นต้นทุนบริการในอดีต ในงบกำไรขาดทุน</t>
  </si>
  <si>
    <r>
      <rPr>
        <u/>
        <sz val="12"/>
        <color theme="1"/>
        <rFont val="Cordia New"/>
        <family val="2"/>
      </rPr>
      <t>1. พนักงานที่เคยคำนวณภาระผูกพันโครงการผลประโยชน์พนักงานมาแล้ว</t>
    </r>
    <r>
      <rPr>
        <sz val="12"/>
        <color theme="1"/>
        <rFont val="Cordia New"/>
        <family val="2"/>
      </rPr>
      <t xml:space="preserve">
สำหรับพนักงานกลุ่มนี้ เดิมจะถูกคำนวณโดยกฎหมายแรงงานฉบับเดิม แน่นอนว่าต้นทุนบริการที่ผ่านมา จะรับรู้ไว้สำหรับการการจ่ายผลประโยชน์ตามกฎหมายเดิมเท่านั้น เมื่อมีการเปลี่ยนกฎหมายแรงงาน ต้นทุนบริการในปีที่ผ่าน ๆ มา ไม่เพียงพอต่อการจ่ายผลประโยชน์ที่สูงขึ้นตามข้อกฎหมาย
ดังนั้น จึงต้องมีการปรับปรุงต้นทุนบริการในปีที่ผ่าน ๆ มา ซึ่งได้รับรู้ไปแล้วในงบกำไรขาดทุน โดยผลกระทบจากการปรับปรุงนี้ จะรับรู้เป็น ต้นทุนบริการในอดีต หรือผลกระทบที่เกิดต้นทุนบริการที่เคยตั้งไว้ไม่เพียงพอ</t>
    </r>
  </si>
  <si>
    <r>
      <t xml:space="preserve"> </t>
    </r>
    <r>
      <rPr>
        <u/>
        <sz val="12"/>
        <color theme="1"/>
        <rFont val="Cordia New"/>
        <family val="2"/>
      </rPr>
      <t>3. 	พนักงานที่ควรจะเกษียณอายุ แต่ยังไม่ได้เกษียณ</t>
    </r>
    <r>
      <rPr>
        <sz val="12"/>
        <color theme="1"/>
        <rFont val="Cordia New"/>
        <family val="2"/>
      </rPr>
      <t xml:space="preserve">
 พนักงานกลุ่มนี้ มองเผิน ๆ แล้วจะคล้ายกับพนักงานกลุ่มที่ 1 คือ เคยคำนวณภาระผูกพันในพนักงานกลุ่มนี้มาก่อน แต่เนื่องจากว่าพนักงานคนนี้ควรจะเกษียณอายุไปแล้ว ดังนั้นในการคำนวณภาระผูกพันในครั้งที่แล้วจะมีการคาดการณ์ว่าจะต้องเงินชดเชย และล้างภาระผูกพันออกไป แต่เมื่อมีการคำนวณใหม่อีกครั้ง พบว่าพนักงานคนนี้ยังไม่เกษียณอายุ ต้องตั้งภาระผูกพันให้พนักงานคนนี้อีกครั้ง เป็นผลกระทบจากการปรับปรุงค่าประสบการณ์
ดังนั้นการคำนวณภาระผูกพันของพนักงานกลุ่มนี้ จึงจะคล้ายกับพนักงานกลุ่มที่ 2 มากกว่าคือ ไม่มีต้นทุนบริการในปีที่ผ่าน ๆ มา ดังนั้นจึงไม่จำเป็นต้องปรับปรุงต้นทุนบริการในอดีต</t>
    </r>
  </si>
  <si>
    <r>
      <rPr>
        <u/>
        <sz val="12"/>
        <color theme="1"/>
        <rFont val="Cordia New"/>
        <family val="2"/>
      </rPr>
      <t>2. 	พนักงานที่เพิ่งถูกเพิ่มเข้ามาในการคำนวณภาระผูกพันโครงการผลประโยชน์พนักงานรอบปัจจุบัน</t>
    </r>
    <r>
      <rPr>
        <sz val="12"/>
        <color theme="1"/>
        <rFont val="Cordia New"/>
        <family val="2"/>
      </rPr>
      <t xml:space="preserve">
สำหรับพนักงานกลุ่มนี้ ไม่เคยถูกคำนวณมาก่อนเลย เท่ากับว่าไม่เคยมีต้นทุนบริการสำหรับพนักงานกลุ่มนี้ ดังนั้น ผลกระทบจากการเปลี่ยนกฎหมายแรงงาน จึงรับรู้เป็นผลกระทบจากการปรับปรุงค่าประสบการณ์ แทนที่จะเป็นต้นทุนบริการในอดีต เพราะอย่างที่ได้กล่าวไปแล้วว่า ไม่เคยมีต้นทุนบริการมาก่อน เลยไม่มีความจำเป็นต้องปรับปรุงต้นทุนบริการ
นอกจากนี้ ตามวิธีการคำนวณด้วยหลักคณิตศาสตร์ประกันภัย ภาระผูกพันที่เกิดขึ้นจากพนักงานที่คำนวณเป็นครั้งแรก ก็จะรับรู้เป็นผลกระทบจากการปรับปรุงค่าประสบการณ์อยู่แล้ว ไม่ว่าจะเป็นภาระผูกพันที่เกิดขึ้นจากกฎหมายแรงงานแบบ 300 วัน หรือ 400 วัน</t>
    </r>
  </si>
  <si>
    <t>3. เลือกไตรมาสที่กฎหมาย 400 วันประกาศใช้ ในช่อง R30</t>
  </si>
  <si>
    <t xml:space="preserve">4. เลือกวิธีการบันทึกบัญชี ในช่อง R31 </t>
  </si>
  <si>
    <t xml:space="preserve">     วิธีที่ 1: แบ่งผลกระทบเป็น 2 ส่วน โดยรับรู้ใน Past Service Cost และ Other Comprehensive Income</t>
  </si>
  <si>
    <t xml:space="preserve">     วิธีที่ 2: รับรู้ผลกระทบทั้งหมด ใน Past Service Cost</t>
  </si>
  <si>
    <t>5. ดูผลลัพธ์ได้ในช่อง E35:I45</t>
  </si>
  <si>
    <t>1. กรอกผลการประมาณการตามกฎหมาย 300 วัน ในช่อง E17:I27</t>
  </si>
  <si>
    <t>2. กรอกผลการประมาณการตามกฎหมาย 400 วัน ในช่อง M17:Q27</t>
  </si>
  <si>
    <t>Scenario</t>
  </si>
  <si>
    <t>วิธีบันทึก</t>
  </si>
  <si>
    <t>BP</t>
  </si>
  <si>
    <t>Restate</t>
  </si>
  <si>
    <t>A</t>
  </si>
  <si>
    <t>ไม่เท่ากัน</t>
  </si>
  <si>
    <t>Y</t>
  </si>
  <si>
    <t>N</t>
  </si>
  <si>
    <t>เท่ากัน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</si>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</sst>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Cordia New"/>
      <family val="2"/>
    </font>
    <font>
      <b/>
      <sz val="20"/>
      <color theme="0"/>
      <name val="Cordia New"/>
      <family val="2"/>
    </font>
    <font>
      <b/>
      <sz val="16"/>
      <color theme="0"/>
      <name val="Cordia New"/>
      <family val="2"/>
    </font>
    <font>
      <b/>
      <sz val="14"/>
      <name val="Cordia New"/>
      <family val="2"/>
    </font>
    <font>
      <sz val="12"/>
      <color rgb="FFFF0000"/>
      <name val="Cordia New"/>
      <family val="2"/>
    </font>
    <font>
      <sz val="12"/>
      <name val="Cordia New"/>
      <family val="2"/>
    </font>
    <font>
      <b/>
      <sz val="14"/>
      <color theme="1"/>
      <name val="Cordia New"/>
      <family val="2"/>
    </font>
    <font>
      <b/>
      <sz val="16"/>
      <color theme="1"/>
      <name val="Cordia New"/>
      <family val="2"/>
    </font>
    <font>
      <b/>
      <sz val="18"/>
      <color theme="1"/>
      <name val="Cordia New"/>
      <family val="2"/>
    </font>
    <font>
      <sz val="14"/>
      <color theme="1"/>
      <name val="Cordia New"/>
      <family val="2"/>
    </font>
    <font>
      <sz val="16"/>
      <color theme="1"/>
      <name val="Cordia New"/>
      <family val="2"/>
    </font>
    <font>
      <b/>
      <sz val="20"/>
      <name val="Cordia New"/>
      <family val="2"/>
    </font>
    <font>
      <sz val="12"/>
      <color theme="0"/>
      <name val="Cordia New"/>
      <family val="2"/>
    </font>
    <font>
      <u/>
      <sz val="11"/>
      <color theme="10"/>
      <name val="Tahoma"/>
      <family val="2"/>
      <charset val="222"/>
      <scheme val="minor"/>
    </font>
    <font>
      <sz val="14"/>
      <color theme="10"/>
      <name val="Cordia New"/>
      <family val="2"/>
    </font>
    <font>
      <u/>
      <sz val="12"/>
      <color theme="1"/>
      <name val="Cordia New"/>
      <family val="2"/>
    </font>
    <font>
      <b/>
      <u/>
      <sz val="14"/>
      <color theme="1"/>
      <name val="Cordia New"/>
      <family val="2"/>
    </font>
    <font>
      <sz val="8"/>
      <color theme="1"/>
      <name val="Tahoma"/>
      <family val="2"/>
      <charset val="222"/>
      <scheme val="minor"/>
    </font>
    <font>
      <b/>
      <sz val="8"/>
      <color theme="1"/>
      <name val="Tahoma"/>
      <family val="2"/>
      <scheme val="major"/>
    </font>
    <font>
      <sz val="8"/>
      <color theme="1"/>
      <name val="Tahoma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Continuous"/>
      <protection locked="0"/>
    </xf>
    <xf numFmtId="0" fontId="2" fillId="0" borderId="4" xfId="0" applyFont="1" applyBorder="1" applyAlignment="1" applyProtection="1">
      <alignment horizontal="centerContinuous"/>
      <protection locked="0"/>
    </xf>
    <xf numFmtId="0" fontId="2" fillId="0" borderId="9" xfId="0" applyFont="1" applyBorder="1" applyAlignment="1" applyProtection="1">
      <alignment horizontal="centerContinuous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43" fontId="2" fillId="4" borderId="16" xfId="0" applyNumberFormat="1" applyFont="1" applyFill="1" applyBorder="1" applyProtection="1">
      <protection locked="0"/>
    </xf>
    <xf numFmtId="43" fontId="2" fillId="4" borderId="7" xfId="1" applyFont="1" applyFill="1" applyBorder="1" applyProtection="1">
      <protection locked="0"/>
    </xf>
    <xf numFmtId="43" fontId="2" fillId="4" borderId="0" xfId="1" applyFont="1" applyFill="1" applyProtection="1">
      <protection locked="0"/>
    </xf>
    <xf numFmtId="43" fontId="2" fillId="4" borderId="10" xfId="1" applyFont="1" applyFill="1" applyBorder="1" applyProtection="1">
      <protection locked="0"/>
    </xf>
    <xf numFmtId="0" fontId="2" fillId="0" borderId="16" xfId="0" applyFont="1" applyBorder="1" applyProtection="1">
      <protection locked="0"/>
    </xf>
    <xf numFmtId="43" fontId="2" fillId="0" borderId="7" xfId="1" applyFont="1" applyBorder="1" applyProtection="1">
      <protection locked="0"/>
    </xf>
    <xf numFmtId="43" fontId="2" fillId="0" borderId="0" xfId="1" applyFont="1" applyProtection="1">
      <protection locked="0"/>
    </xf>
    <xf numFmtId="43" fontId="2" fillId="0" borderId="10" xfId="1" applyFont="1" applyBorder="1" applyProtection="1">
      <protection locked="0"/>
    </xf>
    <xf numFmtId="43" fontId="2" fillId="0" borderId="16" xfId="0" applyNumberFormat="1" applyFont="1" applyBorder="1" applyProtection="1">
      <protection locked="0"/>
    </xf>
    <xf numFmtId="43" fontId="6" fillId="0" borderId="16" xfId="0" applyNumberFormat="1" applyFont="1" applyBorder="1" applyProtection="1">
      <protection locked="0"/>
    </xf>
    <xf numFmtId="43" fontId="2" fillId="4" borderId="15" xfId="0" applyNumberFormat="1" applyFont="1" applyFill="1" applyBorder="1" applyProtection="1">
      <protection locked="0"/>
    </xf>
    <xf numFmtId="43" fontId="2" fillId="4" borderId="11" xfId="0" applyNumberFormat="1" applyFont="1" applyFill="1" applyBorder="1" applyProtection="1">
      <protection locked="0"/>
    </xf>
    <xf numFmtId="43" fontId="2" fillId="4" borderId="2" xfId="0" applyNumberFormat="1" applyFont="1" applyFill="1" applyBorder="1" applyProtection="1">
      <protection locked="0"/>
    </xf>
    <xf numFmtId="43" fontId="2" fillId="4" borderId="8" xfId="0" applyNumberFormat="1" applyFont="1" applyFill="1" applyBorder="1" applyProtection="1">
      <protection locked="0"/>
    </xf>
    <xf numFmtId="0" fontId="2" fillId="0" borderId="0" xfId="0" applyFont="1" applyProtection="1">
      <protection hidden="1"/>
    </xf>
    <xf numFmtId="43" fontId="2" fillId="4" borderId="16" xfId="0" applyNumberFormat="1" applyFont="1" applyFill="1" applyBorder="1" applyProtection="1">
      <protection hidden="1"/>
    </xf>
    <xf numFmtId="43" fontId="2" fillId="4" borderId="7" xfId="1" applyFont="1" applyFill="1" applyBorder="1" applyProtection="1">
      <protection hidden="1"/>
    </xf>
    <xf numFmtId="43" fontId="2" fillId="4" borderId="0" xfId="1" applyFont="1" applyFill="1" applyProtection="1">
      <protection hidden="1"/>
    </xf>
    <xf numFmtId="43" fontId="2" fillId="4" borderId="10" xfId="1" applyFont="1" applyFill="1" applyBorder="1" applyProtection="1">
      <protection hidden="1"/>
    </xf>
    <xf numFmtId="0" fontId="2" fillId="0" borderId="16" xfId="0" applyFont="1" applyBorder="1" applyProtection="1">
      <protection hidden="1"/>
    </xf>
    <xf numFmtId="43" fontId="2" fillId="0" borderId="7" xfId="1" applyFont="1" applyBorder="1" applyProtection="1">
      <protection hidden="1"/>
    </xf>
    <xf numFmtId="43" fontId="2" fillId="0" borderId="0" xfId="1" applyFont="1" applyProtection="1">
      <protection hidden="1"/>
    </xf>
    <xf numFmtId="43" fontId="2" fillId="0" borderId="10" xfId="1" applyFont="1" applyBorder="1" applyProtection="1">
      <protection hidden="1"/>
    </xf>
    <xf numFmtId="43" fontId="2" fillId="0" borderId="16" xfId="0" applyNumberFormat="1" applyFont="1" applyBorder="1" applyProtection="1">
      <protection hidden="1"/>
    </xf>
    <xf numFmtId="43" fontId="2" fillId="4" borderId="15" xfId="0" applyNumberFormat="1" applyFont="1" applyFill="1" applyBorder="1" applyProtection="1">
      <protection hidden="1"/>
    </xf>
    <xf numFmtId="43" fontId="2" fillId="4" borderId="11" xfId="0" applyNumberFormat="1" applyFont="1" applyFill="1" applyBorder="1" applyProtection="1">
      <protection hidden="1"/>
    </xf>
    <xf numFmtId="43" fontId="2" fillId="4" borderId="2" xfId="0" applyNumberFormat="1" applyFont="1" applyFill="1" applyBorder="1" applyProtection="1">
      <protection hidden="1"/>
    </xf>
    <xf numFmtId="43" fontId="2" fillId="4" borderId="8" xfId="0" applyNumberFormat="1" applyFont="1" applyFill="1" applyBorder="1" applyProtection="1">
      <protection hidden="1"/>
    </xf>
    <xf numFmtId="0" fontId="2" fillId="0" borderId="0" xfId="0" quotePrefix="1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43" fontId="7" fillId="0" borderId="7" xfId="1" applyFont="1" applyBorder="1" applyProtection="1">
      <protection hidden="1"/>
    </xf>
    <xf numFmtId="43" fontId="7" fillId="0" borderId="0" xfId="1" applyFont="1" applyProtection="1">
      <protection hidden="1"/>
    </xf>
    <xf numFmtId="43" fontId="7" fillId="0" borderId="10" xfId="1" applyFont="1" applyBorder="1" applyProtection="1">
      <protection hidden="1"/>
    </xf>
    <xf numFmtId="0" fontId="2" fillId="0" borderId="0" xfId="0" quotePrefix="1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horizontal="centerContinuous"/>
      <protection locked="0" hidden="1"/>
    </xf>
    <xf numFmtId="0" fontId="2" fillId="0" borderId="9" xfId="0" applyFont="1" applyBorder="1" applyAlignment="1" applyProtection="1">
      <alignment horizontal="centerContinuous"/>
      <protection locked="0" hidden="1"/>
    </xf>
    <xf numFmtId="0" fontId="2" fillId="0" borderId="11" xfId="0" applyFont="1" applyBorder="1" applyAlignment="1" applyProtection="1">
      <alignment horizontal="center" wrapText="1"/>
      <protection locked="0" hidden="1"/>
    </xf>
    <xf numFmtId="0" fontId="2" fillId="0" borderId="2" xfId="0" applyFont="1" applyBorder="1" applyAlignment="1" applyProtection="1">
      <alignment horizontal="center" wrapText="1"/>
      <protection locked="0" hidden="1"/>
    </xf>
    <xf numFmtId="0" fontId="2" fillId="0" borderId="8" xfId="0" applyFont="1" applyBorder="1" applyAlignment="1" applyProtection="1">
      <alignment horizontal="center" wrapText="1"/>
      <protection locked="0" hidden="1"/>
    </xf>
    <xf numFmtId="0" fontId="13" fillId="0" borderId="0" xfId="0" applyFont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left" vertical="center"/>
      <protection locked="0"/>
    </xf>
    <xf numFmtId="0" fontId="14" fillId="8" borderId="0" xfId="0" applyFont="1" applyFill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Protection="1"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2" fillId="4" borderId="7" xfId="0" applyFont="1" applyFill="1" applyBorder="1" applyProtection="1"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4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left"/>
      <protection locked="0"/>
    </xf>
    <xf numFmtId="43" fontId="7" fillId="4" borderId="7" xfId="1" applyFont="1" applyFill="1" applyBorder="1" applyProtection="1">
      <protection hidden="1"/>
    </xf>
    <xf numFmtId="0" fontId="2" fillId="0" borderId="1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5" xfId="0" applyFont="1" applyBorder="1"/>
    <xf numFmtId="0" fontId="2" fillId="0" borderId="2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2" fillId="0" borderId="10" xfId="0" applyFont="1" applyBorder="1"/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/>
    <xf numFmtId="0" fontId="2" fillId="0" borderId="2" xfId="0" applyFont="1" applyBorder="1"/>
    <xf numFmtId="0" fontId="2" fillId="0" borderId="8" xfId="0" applyFont="1" applyBorder="1"/>
    <xf numFmtId="0" fontId="19" fillId="0" borderId="0" xfId="0" applyFont="1"/>
    <xf numFmtId="0" fontId="20" fillId="6" borderId="1" xfId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41" fontId="20" fillId="6" borderId="1" xfId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quotePrefix="1" applyFont="1" applyAlignment="1" applyProtection="1">
      <alignment horizontal="left" vertical="top" wrapText="1"/>
      <protection hidden="1"/>
    </xf>
    <xf numFmtId="0" fontId="4" fillId="3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6" fillId="0" borderId="11" xfId="2" applyFont="1" applyBorder="1" applyAlignment="1" applyProtection="1">
      <alignment horizontal="left"/>
      <protection locked="0"/>
    </xf>
    <xf numFmtId="0" fontId="16" fillId="0" borderId="2" xfId="2" applyFont="1" applyBorder="1" applyAlignment="1" applyProtection="1">
      <alignment horizontal="left"/>
      <protection locked="0"/>
    </xf>
    <xf numFmtId="0" fontId="16" fillId="0" borderId="8" xfId="2" applyFont="1" applyBorder="1" applyAlignment="1" applyProtection="1">
      <alignment horizontal="left"/>
      <protection locked="0"/>
    </xf>
    <xf numFmtId="0" fontId="16" fillId="0" borderId="7" xfId="2" applyFont="1" applyBorder="1" applyAlignment="1" applyProtection="1">
      <alignment horizontal="left"/>
      <protection locked="0"/>
    </xf>
    <xf numFmtId="0" fontId="16" fillId="0" borderId="0" xfId="2" applyFont="1" applyAlignment="1" applyProtection="1">
      <alignment horizontal="left"/>
      <protection locked="0"/>
    </xf>
    <xf numFmtId="0" fontId="16" fillId="0" borderId="10" xfId="2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</cellXfs>
  <cellStyles count="3">
    <cellStyle name="Comma" xfId="1" builtinId="3"/>
    <cellStyle name="Hyperlink" xfId="2" builtinId="8"/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68580</xdr:rowOff>
    </xdr:from>
    <xdr:to>
      <xdr:col>2</xdr:col>
      <xdr:colOff>1066083</xdr:colOff>
      <xdr:row>0</xdr:row>
      <xdr:rowOff>670092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34398A-5413-4AEF-8B50-487DFD0AF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8580"/>
          <a:ext cx="1530902" cy="60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1413-DDF4-4EC0-BD9D-3450900C156D}">
  <dimension ref="A1:AE99"/>
  <sheetViews>
    <sheetView showGridLines="0" tabSelected="1" zoomScale="99" zoomScaleNormal="99" workbookViewId="0">
      <pane ySplit="2" topLeftCell="A24" activePane="bottomLeft" state="frozen"/>
      <selection pane="bottomLeft" activeCell="L33" sqref="L33:R34"/>
    </sheetView>
  </sheetViews>
  <sheetFormatPr defaultColWidth="10.69921875" defaultRowHeight="19.95" customHeight="1" x14ac:dyDescent="0.55000000000000004"/>
  <cols>
    <col min="1" max="1" width="3.3984375" style="1" customWidth="1"/>
    <col min="2" max="2" width="3.19921875" style="1" customWidth="1"/>
    <col min="3" max="3" width="36.796875" style="1" customWidth="1"/>
    <col min="4" max="4" width="4.19921875" style="1" customWidth="1"/>
    <col min="5" max="9" width="11.5" style="1" customWidth="1"/>
    <col min="10" max="12" width="2.69921875" style="1" customWidth="1"/>
    <col min="13" max="18" width="11.5" style="1" customWidth="1"/>
    <col min="19" max="23" width="10.69921875" style="1"/>
    <col min="24" max="31" width="12.69921875" style="1" customWidth="1"/>
    <col min="32" max="16384" width="10.69921875" style="1"/>
  </cols>
  <sheetData>
    <row r="1" spans="1:31" s="49" customFormat="1" ht="56.4" customHeight="1" x14ac:dyDescent="0.25"/>
    <row r="2" spans="1:31" s="51" customFormat="1" ht="24" customHeight="1" x14ac:dyDescent="0.55000000000000004">
      <c r="A2" s="50" t="s">
        <v>0</v>
      </c>
    </row>
    <row r="3" spans="1:31" ht="19.95" customHeight="1" thickBot="1" x14ac:dyDescent="0.6"/>
    <row r="4" spans="1:31" s="52" customFormat="1" ht="19.95" customHeight="1" thickBot="1" x14ac:dyDescent="0.6">
      <c r="A4" s="108" t="s">
        <v>20</v>
      </c>
      <c r="B4" s="109"/>
      <c r="C4" s="109"/>
      <c r="D4" s="109"/>
      <c r="E4" s="109"/>
      <c r="F4" s="110"/>
      <c r="G4" s="73"/>
      <c r="H4" s="73"/>
      <c r="I4" s="73"/>
      <c r="X4" s="76"/>
      <c r="Y4" s="77"/>
      <c r="Z4" s="77"/>
      <c r="AA4" s="77"/>
      <c r="AB4" s="77"/>
      <c r="AC4" s="77"/>
      <c r="AD4" s="77"/>
      <c r="AE4" s="78"/>
    </row>
    <row r="5" spans="1:31" s="52" customFormat="1" ht="19.95" customHeight="1" x14ac:dyDescent="0.6">
      <c r="A5" s="120" t="s">
        <v>43</v>
      </c>
      <c r="B5" s="121"/>
      <c r="C5" s="121"/>
      <c r="D5" s="121"/>
      <c r="E5" s="121"/>
      <c r="F5" s="122"/>
      <c r="X5" s="111" t="s">
        <v>32</v>
      </c>
      <c r="Y5" s="112"/>
      <c r="Z5" s="112"/>
      <c r="AA5" s="112"/>
      <c r="AB5" s="112"/>
      <c r="AC5" s="112"/>
      <c r="AD5" s="112"/>
      <c r="AE5" s="113"/>
    </row>
    <row r="6" spans="1:31" ht="19.95" customHeight="1" x14ac:dyDescent="0.6">
      <c r="A6" s="120" t="s">
        <v>44</v>
      </c>
      <c r="B6" s="121"/>
      <c r="C6" s="121"/>
      <c r="D6" s="121"/>
      <c r="E6" s="121"/>
      <c r="F6" s="122"/>
      <c r="X6" s="79"/>
      <c r="Y6" s="80"/>
      <c r="Z6" s="80"/>
      <c r="AA6" s="80"/>
      <c r="AB6" s="80"/>
      <c r="AC6" s="80"/>
      <c r="AD6" s="80"/>
      <c r="AE6" s="81"/>
    </row>
    <row r="7" spans="1:31" ht="19.95" customHeight="1" x14ac:dyDescent="0.6">
      <c r="A7" s="120" t="s">
        <v>38</v>
      </c>
      <c r="B7" s="121"/>
      <c r="C7" s="121"/>
      <c r="D7" s="121"/>
      <c r="E7" s="121"/>
      <c r="F7" s="122"/>
      <c r="X7" s="114" t="s">
        <v>33</v>
      </c>
      <c r="Y7" s="115"/>
      <c r="Z7" s="115"/>
      <c r="AA7" s="115"/>
      <c r="AB7" s="115"/>
      <c r="AC7" s="115"/>
      <c r="AD7" s="115"/>
      <c r="AE7" s="116"/>
    </row>
    <row r="8" spans="1:31" ht="19.95" customHeight="1" x14ac:dyDescent="0.6">
      <c r="A8" s="120" t="s">
        <v>39</v>
      </c>
      <c r="B8" s="121"/>
      <c r="C8" s="121"/>
      <c r="D8" s="121"/>
      <c r="E8" s="121"/>
      <c r="F8" s="122"/>
      <c r="X8" s="114"/>
      <c r="Y8" s="115"/>
      <c r="Z8" s="115"/>
      <c r="AA8" s="115"/>
      <c r="AB8" s="115"/>
      <c r="AC8" s="115"/>
      <c r="AD8" s="115"/>
      <c r="AE8" s="116"/>
    </row>
    <row r="9" spans="1:31" ht="19.95" customHeight="1" x14ac:dyDescent="0.6">
      <c r="A9" s="120" t="s">
        <v>40</v>
      </c>
      <c r="B9" s="121"/>
      <c r="C9" s="121"/>
      <c r="D9" s="121"/>
      <c r="E9" s="121"/>
      <c r="F9" s="122"/>
      <c r="X9" s="114"/>
      <c r="Y9" s="115"/>
      <c r="Z9" s="115"/>
      <c r="AA9" s="115"/>
      <c r="AB9" s="115"/>
      <c r="AC9" s="115"/>
      <c r="AD9" s="115"/>
      <c r="AE9" s="116"/>
    </row>
    <row r="10" spans="1:31" ht="19.95" customHeight="1" x14ac:dyDescent="0.6">
      <c r="A10" s="123" t="s">
        <v>41</v>
      </c>
      <c r="B10" s="124"/>
      <c r="C10" s="124"/>
      <c r="D10" s="124"/>
      <c r="E10" s="124"/>
      <c r="F10" s="125"/>
      <c r="X10" s="82"/>
      <c r="Y10" s="83"/>
      <c r="Z10" s="83"/>
      <c r="AA10" s="83"/>
      <c r="AB10" s="83"/>
      <c r="AC10" s="83"/>
      <c r="AD10" s="83"/>
      <c r="AE10" s="84"/>
    </row>
    <row r="11" spans="1:31" ht="19.95" customHeight="1" thickBot="1" x14ac:dyDescent="0.65">
      <c r="A11" s="117" t="s">
        <v>42</v>
      </c>
      <c r="B11" s="118"/>
      <c r="C11" s="118"/>
      <c r="D11" s="118"/>
      <c r="E11" s="118"/>
      <c r="F11" s="119"/>
      <c r="X11" s="114" t="s">
        <v>35</v>
      </c>
      <c r="Y11" s="115"/>
      <c r="Z11" s="115"/>
      <c r="AA11" s="115"/>
      <c r="AB11" s="115"/>
      <c r="AC11" s="115"/>
      <c r="AD11" s="115"/>
      <c r="AE11" s="116"/>
    </row>
    <row r="12" spans="1:31" ht="19.95" customHeight="1" thickBot="1" x14ac:dyDescent="0.6">
      <c r="X12" s="114"/>
      <c r="Y12" s="115"/>
      <c r="Z12" s="115"/>
      <c r="AA12" s="115"/>
      <c r="AB12" s="115"/>
      <c r="AC12" s="115"/>
      <c r="AD12" s="115"/>
      <c r="AE12" s="116"/>
    </row>
    <row r="13" spans="1:31" s="2" customFormat="1" ht="30" customHeight="1" thickBot="1" x14ac:dyDescent="0.3">
      <c r="C13" s="54"/>
      <c r="D13" s="54"/>
      <c r="E13" s="97" t="s">
        <v>21</v>
      </c>
      <c r="F13" s="98"/>
      <c r="G13" s="98"/>
      <c r="H13" s="98"/>
      <c r="I13" s="99"/>
      <c r="M13" s="100" t="s">
        <v>22</v>
      </c>
      <c r="N13" s="101"/>
      <c r="O13" s="101"/>
      <c r="P13" s="101"/>
      <c r="Q13" s="102"/>
      <c r="X13" s="114"/>
      <c r="Y13" s="115"/>
      <c r="Z13" s="115"/>
      <c r="AA13" s="115"/>
      <c r="AB13" s="115"/>
      <c r="AC13" s="115"/>
      <c r="AD13" s="115"/>
      <c r="AE13" s="116"/>
    </row>
    <row r="14" spans="1:31" ht="19.95" customHeight="1" thickBot="1" x14ac:dyDescent="0.6">
      <c r="X14" s="114"/>
      <c r="Y14" s="115"/>
      <c r="Z14" s="115"/>
      <c r="AA14" s="115"/>
      <c r="AB14" s="115"/>
      <c r="AC14" s="115"/>
      <c r="AD14" s="115"/>
      <c r="AE14" s="116"/>
    </row>
    <row r="15" spans="1:31" ht="19.95" customHeight="1" x14ac:dyDescent="0.55000000000000004">
      <c r="E15" s="95" t="s">
        <v>12</v>
      </c>
      <c r="F15" s="3" t="s">
        <v>23</v>
      </c>
      <c r="G15" s="4"/>
      <c r="H15" s="4"/>
      <c r="I15" s="5"/>
      <c r="M15" s="95" t="s">
        <v>12</v>
      </c>
      <c r="N15" s="3" t="s">
        <v>23</v>
      </c>
      <c r="O15" s="4"/>
      <c r="P15" s="4"/>
      <c r="Q15" s="5"/>
      <c r="X15" s="114"/>
      <c r="Y15" s="115"/>
      <c r="Z15" s="115"/>
      <c r="AA15" s="115"/>
      <c r="AB15" s="115"/>
      <c r="AC15" s="115"/>
      <c r="AD15" s="115"/>
      <c r="AE15" s="116"/>
    </row>
    <row r="16" spans="1:31" ht="19.95" customHeight="1" thickBot="1" x14ac:dyDescent="0.6">
      <c r="E16" s="96"/>
      <c r="F16" s="6" t="s">
        <v>13</v>
      </c>
      <c r="G16" s="7" t="s">
        <v>14</v>
      </c>
      <c r="H16" s="7" t="s">
        <v>15</v>
      </c>
      <c r="I16" s="8" t="s">
        <v>16</v>
      </c>
      <c r="M16" s="96"/>
      <c r="N16" s="6" t="s">
        <v>13</v>
      </c>
      <c r="O16" s="7" t="s">
        <v>14</v>
      </c>
      <c r="P16" s="7" t="s">
        <v>15</v>
      </c>
      <c r="Q16" s="8" t="s">
        <v>16</v>
      </c>
      <c r="X16" s="114"/>
      <c r="Y16" s="115"/>
      <c r="Z16" s="115"/>
      <c r="AA16" s="115"/>
      <c r="AB16" s="115"/>
      <c r="AC16" s="115"/>
      <c r="AD16" s="115"/>
      <c r="AE16" s="116"/>
    </row>
    <row r="17" spans="1:31" ht="19.95" customHeight="1" x14ac:dyDescent="0.55000000000000004">
      <c r="B17" s="55" t="s">
        <v>1</v>
      </c>
      <c r="C17" s="56"/>
      <c r="E17" s="9">
        <v>2100917.62</v>
      </c>
      <c r="F17" s="10">
        <f>E27</f>
        <v>6784237.718508835</v>
      </c>
      <c r="G17" s="11">
        <f>F27</f>
        <v>6885491.2106078099</v>
      </c>
      <c r="H17" s="11">
        <f>G27</f>
        <v>7086744.7027067849</v>
      </c>
      <c r="I17" s="12">
        <f>H27</f>
        <v>7187998.1948057599</v>
      </c>
      <c r="M17" s="9">
        <v>2100917.62</v>
      </c>
      <c r="N17" s="10">
        <f>M27</f>
        <v>8928848.3635570277</v>
      </c>
      <c r="O17" s="11">
        <f>N27</f>
        <v>9052514.9876180403</v>
      </c>
      <c r="P17" s="11">
        <f>O27</f>
        <v>9309181.6116790529</v>
      </c>
      <c r="Q17" s="12">
        <f>P27</f>
        <v>9432848.2357400656</v>
      </c>
      <c r="R17" s="65"/>
      <c r="X17" s="114" t="s">
        <v>37</v>
      </c>
      <c r="Y17" s="115"/>
      <c r="Z17" s="115"/>
      <c r="AA17" s="115"/>
      <c r="AB17" s="115"/>
      <c r="AC17" s="115"/>
      <c r="AD17" s="115"/>
      <c r="AE17" s="116"/>
    </row>
    <row r="18" spans="1:31" ht="19.95" customHeight="1" x14ac:dyDescent="0.55000000000000004">
      <c r="B18" s="57" t="s">
        <v>2</v>
      </c>
      <c r="C18" s="53"/>
      <c r="E18" s="13"/>
      <c r="F18" s="14"/>
      <c r="G18" s="15"/>
      <c r="H18" s="15"/>
      <c r="I18" s="16"/>
      <c r="M18" s="13"/>
      <c r="N18" s="14"/>
      <c r="O18" s="15"/>
      <c r="P18" s="15"/>
      <c r="Q18" s="16"/>
      <c r="R18" s="65"/>
      <c r="X18" s="114"/>
      <c r="Y18" s="115"/>
      <c r="Z18" s="115"/>
      <c r="AA18" s="115"/>
      <c r="AB18" s="115"/>
      <c r="AC18" s="115"/>
      <c r="AD18" s="115"/>
      <c r="AE18" s="116"/>
    </row>
    <row r="19" spans="1:31" ht="19.95" customHeight="1" x14ac:dyDescent="0.55000000000000004">
      <c r="B19" s="58" t="s">
        <v>19</v>
      </c>
      <c r="C19" s="59" t="s">
        <v>3</v>
      </c>
      <c r="E19" s="9">
        <v>282213.69</v>
      </c>
      <c r="F19" s="10">
        <v>146768.3454227341</v>
      </c>
      <c r="G19" s="11">
        <v>146768.3454227341</v>
      </c>
      <c r="H19" s="11">
        <v>146768.3454227341</v>
      </c>
      <c r="I19" s="12">
        <v>146768.3454227341</v>
      </c>
      <c r="M19" s="9">
        <v>282213.69</v>
      </c>
      <c r="N19" s="10">
        <v>184941.79718860879</v>
      </c>
      <c r="O19" s="11">
        <v>184941.79718860879</v>
      </c>
      <c r="P19" s="11">
        <v>184941.79718860879</v>
      </c>
      <c r="Q19" s="12">
        <v>184941.79718860879</v>
      </c>
      <c r="R19" s="65"/>
      <c r="X19" s="114"/>
      <c r="Y19" s="115"/>
      <c r="Z19" s="115"/>
      <c r="AA19" s="115"/>
      <c r="AB19" s="115"/>
      <c r="AC19" s="115"/>
      <c r="AD19" s="115"/>
      <c r="AE19" s="116"/>
    </row>
    <row r="20" spans="1:31" ht="19.95" customHeight="1" x14ac:dyDescent="0.55000000000000004">
      <c r="B20" s="60" t="s">
        <v>19</v>
      </c>
      <c r="C20" s="53" t="s">
        <v>4</v>
      </c>
      <c r="E20" s="17">
        <v>0</v>
      </c>
      <c r="F20" s="14">
        <v>0</v>
      </c>
      <c r="G20" s="15">
        <v>0</v>
      </c>
      <c r="H20" s="15">
        <v>0</v>
      </c>
      <c r="I20" s="16">
        <v>0</v>
      </c>
      <c r="M20" s="18">
        <v>2142512.4161149589</v>
      </c>
      <c r="N20" s="14">
        <v>0</v>
      </c>
      <c r="O20" s="15">
        <v>0</v>
      </c>
      <c r="P20" s="15">
        <v>0</v>
      </c>
      <c r="Q20" s="16">
        <v>0</v>
      </c>
      <c r="X20" s="114"/>
      <c r="Y20" s="115"/>
      <c r="Z20" s="115"/>
      <c r="AA20" s="115"/>
      <c r="AB20" s="115"/>
      <c r="AC20" s="115"/>
      <c r="AD20" s="115"/>
      <c r="AE20" s="116"/>
    </row>
    <row r="21" spans="1:31" ht="19.95" customHeight="1" x14ac:dyDescent="0.55000000000000004">
      <c r="B21" s="61" t="s">
        <v>5</v>
      </c>
      <c r="C21" s="59"/>
      <c r="E21" s="9">
        <v>67642.28</v>
      </c>
      <c r="F21" s="10">
        <v>54485.146676240714</v>
      </c>
      <c r="G21" s="11">
        <v>54485.146676240714</v>
      </c>
      <c r="H21" s="11">
        <v>54485.146676240714</v>
      </c>
      <c r="I21" s="12">
        <v>54485.146676240714</v>
      </c>
      <c r="M21" s="9">
        <v>67642.28</v>
      </c>
      <c r="N21" s="10">
        <v>71724.826872405494</v>
      </c>
      <c r="O21" s="11">
        <v>71724.826872405523</v>
      </c>
      <c r="P21" s="11">
        <v>71724.826872405523</v>
      </c>
      <c r="Q21" s="12">
        <v>71724.826872405523</v>
      </c>
      <c r="R21" s="65"/>
      <c r="X21" s="114"/>
      <c r="Y21" s="115"/>
      <c r="Z21" s="115"/>
      <c r="AA21" s="115"/>
      <c r="AB21" s="115"/>
      <c r="AC21" s="115"/>
      <c r="AD21" s="115"/>
      <c r="AE21" s="116"/>
    </row>
    <row r="22" spans="1:31" ht="19.95" customHeight="1" x14ac:dyDescent="0.55000000000000004">
      <c r="B22" s="57" t="s">
        <v>6</v>
      </c>
      <c r="C22" s="53"/>
      <c r="E22" s="13"/>
      <c r="F22" s="14"/>
      <c r="G22" s="15"/>
      <c r="H22" s="15"/>
      <c r="I22" s="16"/>
      <c r="M22" s="13"/>
      <c r="N22" s="14"/>
      <c r="O22" s="15"/>
      <c r="P22" s="15"/>
      <c r="Q22" s="16"/>
      <c r="X22" s="114"/>
      <c r="Y22" s="115"/>
      <c r="Z22" s="115"/>
      <c r="AA22" s="115"/>
      <c r="AB22" s="115"/>
      <c r="AC22" s="115"/>
      <c r="AD22" s="115"/>
      <c r="AE22" s="116"/>
    </row>
    <row r="23" spans="1:31" ht="19.95" customHeight="1" x14ac:dyDescent="0.55000000000000004">
      <c r="B23" s="62" t="s">
        <v>19</v>
      </c>
      <c r="C23" s="59" t="s">
        <v>7</v>
      </c>
      <c r="E23" s="9">
        <v>52765.68376879883</v>
      </c>
      <c r="F23" s="10">
        <v>0</v>
      </c>
      <c r="G23" s="11">
        <v>0</v>
      </c>
      <c r="H23" s="11">
        <v>0</v>
      </c>
      <c r="I23" s="12">
        <v>0</v>
      </c>
      <c r="M23" s="9">
        <v>52765.68376879883</v>
      </c>
      <c r="N23" s="10">
        <v>0</v>
      </c>
      <c r="O23" s="11">
        <v>0</v>
      </c>
      <c r="P23" s="11">
        <v>0</v>
      </c>
      <c r="Q23" s="12">
        <v>0</v>
      </c>
      <c r="X23" s="114" t="s">
        <v>36</v>
      </c>
      <c r="Y23" s="115"/>
      <c r="Z23" s="115"/>
      <c r="AA23" s="115"/>
      <c r="AB23" s="115"/>
      <c r="AC23" s="115"/>
      <c r="AD23" s="115"/>
      <c r="AE23" s="116"/>
    </row>
    <row r="24" spans="1:31" ht="19.95" customHeight="1" x14ac:dyDescent="0.55000000000000004">
      <c r="B24" s="60" t="s">
        <v>19</v>
      </c>
      <c r="C24" s="53" t="s">
        <v>8</v>
      </c>
      <c r="E24" s="17">
        <v>-337107.10549750744</v>
      </c>
      <c r="F24" s="14">
        <v>0</v>
      </c>
      <c r="G24" s="15">
        <v>0</v>
      </c>
      <c r="H24" s="15">
        <v>0</v>
      </c>
      <c r="I24" s="16">
        <v>0</v>
      </c>
      <c r="M24" s="17">
        <v>-337107.10549750744</v>
      </c>
      <c r="N24" s="14">
        <v>0</v>
      </c>
      <c r="O24" s="15">
        <v>0</v>
      </c>
      <c r="P24" s="15">
        <v>0</v>
      </c>
      <c r="Q24" s="16">
        <v>0</v>
      </c>
      <c r="X24" s="114"/>
      <c r="Y24" s="115"/>
      <c r="Z24" s="115"/>
      <c r="AA24" s="115"/>
      <c r="AB24" s="115"/>
      <c r="AC24" s="115"/>
      <c r="AD24" s="115"/>
      <c r="AE24" s="116"/>
    </row>
    <row r="25" spans="1:31" ht="19.95" customHeight="1" x14ac:dyDescent="0.55000000000000004">
      <c r="B25" s="62" t="s">
        <v>19</v>
      </c>
      <c r="C25" s="59" t="s">
        <v>9</v>
      </c>
      <c r="E25" s="9">
        <v>4721581.5502375439</v>
      </c>
      <c r="F25" s="10">
        <v>0</v>
      </c>
      <c r="G25" s="11">
        <v>0</v>
      </c>
      <c r="H25" s="11">
        <v>0</v>
      </c>
      <c r="I25" s="12">
        <v>0</v>
      </c>
      <c r="M25" s="9">
        <v>4723679.7791707776</v>
      </c>
      <c r="N25" s="10">
        <v>0</v>
      </c>
      <c r="O25" s="11">
        <v>0</v>
      </c>
      <c r="P25" s="11">
        <v>0</v>
      </c>
      <c r="Q25" s="12">
        <v>0</v>
      </c>
      <c r="X25" s="114"/>
      <c r="Y25" s="115"/>
      <c r="Z25" s="115"/>
      <c r="AA25" s="115"/>
      <c r="AB25" s="115"/>
      <c r="AC25" s="115"/>
      <c r="AD25" s="115"/>
      <c r="AE25" s="116"/>
    </row>
    <row r="26" spans="1:31" ht="19.95" customHeight="1" x14ac:dyDescent="0.55000000000000004">
      <c r="B26" s="57" t="s">
        <v>10</v>
      </c>
      <c r="C26" s="53"/>
      <c r="E26" s="17">
        <v>-103776</v>
      </c>
      <c r="F26" s="14">
        <v>-100000</v>
      </c>
      <c r="G26" s="15">
        <v>0</v>
      </c>
      <c r="H26" s="15">
        <v>-100000</v>
      </c>
      <c r="I26" s="16">
        <v>0</v>
      </c>
      <c r="M26" s="17">
        <v>-103776</v>
      </c>
      <c r="N26" s="14">
        <v>-133000</v>
      </c>
      <c r="O26" s="15">
        <v>0</v>
      </c>
      <c r="P26" s="15">
        <v>-133000</v>
      </c>
      <c r="Q26" s="16">
        <v>0</v>
      </c>
      <c r="X26" s="114"/>
      <c r="Y26" s="115"/>
      <c r="Z26" s="115"/>
      <c r="AA26" s="115"/>
      <c r="AB26" s="115"/>
      <c r="AC26" s="115"/>
      <c r="AD26" s="115"/>
      <c r="AE26" s="116"/>
    </row>
    <row r="27" spans="1:31" ht="19.95" customHeight="1" thickBot="1" x14ac:dyDescent="0.6">
      <c r="B27" s="63" t="s">
        <v>11</v>
      </c>
      <c r="C27" s="64"/>
      <c r="E27" s="19">
        <f>SUM(E17:E26)</f>
        <v>6784237.718508835</v>
      </c>
      <c r="F27" s="20">
        <f>SUM(F17:F26)</f>
        <v>6885491.2106078099</v>
      </c>
      <c r="G27" s="21">
        <f>SUM(G17:G26)</f>
        <v>7086744.7027067849</v>
      </c>
      <c r="H27" s="21">
        <f>SUM(H17:H26)</f>
        <v>7187998.1948057599</v>
      </c>
      <c r="I27" s="22">
        <f>SUM(I17:I26)</f>
        <v>7389251.6869047349</v>
      </c>
      <c r="M27" s="19">
        <f>SUM(M17:M26)</f>
        <v>8928848.3635570277</v>
      </c>
      <c r="N27" s="20">
        <f>SUM(N17:N26)</f>
        <v>9052514.9876180403</v>
      </c>
      <c r="O27" s="21">
        <f>SUM(O17:O26)</f>
        <v>9309181.6116790529</v>
      </c>
      <c r="P27" s="21">
        <f>SUM(P17:P26)</f>
        <v>9432848.2357400656</v>
      </c>
      <c r="Q27" s="22">
        <f>SUM(Q17:Q26)</f>
        <v>9689514.8598010782</v>
      </c>
      <c r="R27" s="65"/>
      <c r="X27" s="114"/>
      <c r="Y27" s="115"/>
      <c r="Z27" s="115"/>
      <c r="AA27" s="115"/>
      <c r="AB27" s="115"/>
      <c r="AC27" s="115"/>
      <c r="AD27" s="115"/>
      <c r="AE27" s="116"/>
    </row>
    <row r="28" spans="1:31" ht="19.95" customHeight="1" x14ac:dyDescent="0.55000000000000004">
      <c r="E28" s="65"/>
      <c r="F28" s="66"/>
      <c r="G28" s="66"/>
      <c r="H28" s="66"/>
      <c r="I28" s="66"/>
      <c r="N28" s="65"/>
      <c r="X28" s="114"/>
      <c r="Y28" s="115"/>
      <c r="Z28" s="115"/>
      <c r="AA28" s="115"/>
      <c r="AB28" s="115"/>
      <c r="AC28" s="115"/>
      <c r="AD28" s="115"/>
      <c r="AE28" s="116"/>
    </row>
    <row r="29" spans="1:31" s="2" customFormat="1" ht="31.2" customHeight="1" x14ac:dyDescent="0.25">
      <c r="A29" s="67"/>
      <c r="B29" s="105" t="s">
        <v>17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X29" s="114" t="s">
        <v>34</v>
      </c>
      <c r="Y29" s="115"/>
      <c r="Z29" s="115"/>
      <c r="AA29" s="115"/>
      <c r="AB29" s="115"/>
      <c r="AC29" s="115"/>
      <c r="AD29" s="115"/>
      <c r="AE29" s="116"/>
    </row>
    <row r="30" spans="1:31" ht="19.95" customHeight="1" x14ac:dyDescent="0.55000000000000004">
      <c r="O30" s="106" t="s">
        <v>18</v>
      </c>
      <c r="P30" s="106"/>
      <c r="Q30" s="107" t="s">
        <v>31</v>
      </c>
      <c r="R30" s="107"/>
      <c r="X30" s="114"/>
      <c r="Y30" s="115"/>
      <c r="Z30" s="115"/>
      <c r="AA30" s="115"/>
      <c r="AB30" s="115"/>
      <c r="AC30" s="115"/>
      <c r="AD30" s="115"/>
      <c r="AE30" s="116"/>
    </row>
    <row r="31" spans="1:31" ht="19.95" customHeight="1" thickBot="1" x14ac:dyDescent="0.6">
      <c r="O31" s="70" t="s">
        <v>24</v>
      </c>
      <c r="P31" s="72"/>
      <c r="Q31" s="107" t="s">
        <v>25</v>
      </c>
      <c r="R31" s="107"/>
      <c r="X31" s="85"/>
      <c r="Y31" s="86"/>
      <c r="Z31" s="86"/>
      <c r="AA31" s="86"/>
      <c r="AB31" s="86"/>
      <c r="AC31" s="86"/>
      <c r="AD31" s="86"/>
      <c r="AE31" s="87"/>
    </row>
    <row r="32" spans="1:31" ht="19.95" customHeight="1" thickBot="1" x14ac:dyDescent="0.6">
      <c r="B32" s="69" t="str">
        <f>IF(AND(M20=0,Sheet2!A2="A",E17&lt;&gt;""),"เนื่องจากเป็นการคำนวณแบบปรับปรุงงบย้อนหลัง (Restatement) ต้องใช้วิธีที่ 2 เท่านั้น",IF(Sheet2!A1=0,"ถ้ากฎหมาย 400 วันยังไม่ประกาศ ก็ต้องบันทึกตามผลการประมาณการ 300 วันต่อไป","ในกรณีที่กฎหมาย 400 วันประกาศใช้ในไตรมาสที่ "&amp;Sheet2!A1&amp;" จะบันทึกตัวเลขดังนี้"))</f>
        <v>ถ้ากฎหมาย 400 วันยังไม่ประกาศ ก็ต้องบันทึกตามผลการประมาณการ 300 วันต่อไป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 ht="19.95" customHeight="1" x14ac:dyDescent="0.55000000000000004">
      <c r="E33" s="95" t="s">
        <v>12</v>
      </c>
      <c r="F33" s="3" t="s">
        <v>23</v>
      </c>
      <c r="G33" s="44"/>
      <c r="H33" s="44"/>
      <c r="I33" s="45"/>
      <c r="K33" s="37" t="str">
        <f>IF(L33="","","1.")</f>
        <v/>
      </c>
      <c r="L33" s="94" t="str">
        <f>IF(AND(M20=0,Sheet2!A2="A"),"",IF(Sheet2!A1=0,"","ในกรณีที่เลือกบันทึกบัญชีในไตรมาสที่ "&amp;Sheet2!A1&amp;" หมายถึง เริ่มต้นรับรู้ภาระผูกพันผลประโยชน์พนักงานตามกฎหมาย 400 วัน ณ สิ้นไตรมาสที่ "&amp;Sheet2!A1&amp;" เป็นต้นไป"))</f>
        <v/>
      </c>
      <c r="M33" s="94"/>
      <c r="N33" s="94"/>
      <c r="O33" s="94"/>
      <c r="P33" s="94"/>
      <c r="Q33" s="94"/>
      <c r="R33" s="94"/>
    </row>
    <row r="34" spans="2:18" ht="19.95" customHeight="1" thickBot="1" x14ac:dyDescent="0.6">
      <c r="E34" s="96"/>
      <c r="F34" s="46" t="s">
        <v>13</v>
      </c>
      <c r="G34" s="47" t="s">
        <v>14</v>
      </c>
      <c r="H34" s="47" t="s">
        <v>15</v>
      </c>
      <c r="I34" s="48" t="s">
        <v>16</v>
      </c>
      <c r="K34" s="38"/>
      <c r="L34" s="94"/>
      <c r="M34" s="94"/>
      <c r="N34" s="94"/>
      <c r="O34" s="94"/>
      <c r="P34" s="94"/>
      <c r="Q34" s="94"/>
      <c r="R34" s="94"/>
    </row>
    <row r="35" spans="2:18" ht="19.95" customHeight="1" x14ac:dyDescent="0.55000000000000004">
      <c r="B35" s="55" t="s">
        <v>1</v>
      </c>
      <c r="C35" s="56"/>
      <c r="E35" s="24">
        <f>IF(AND(M20=0,Sheet2!A2="A"),"",E17)</f>
        <v>2100917.62</v>
      </c>
      <c r="F35" s="25">
        <f>IF(AND(M20=0,Sheet2!A2="A"),"",E45)</f>
        <v>6784237.718508835</v>
      </c>
      <c r="G35" s="26">
        <f>IF(AND(M20=0,Sheet2!A2="A"),"",F45)</f>
        <v>6885491.2106078099</v>
      </c>
      <c r="H35" s="26">
        <f>IF(AND(M20=0,Sheet2!A2="A"),"",G45)</f>
        <v>7086744.7027067849</v>
      </c>
      <c r="I35" s="27">
        <f>IF(AND(M20=0,Sheet2!A2="A"),"",H45)</f>
        <v>7187998.1948057599</v>
      </c>
      <c r="K35" s="23"/>
    </row>
    <row r="36" spans="2:18" ht="19.95" customHeight="1" x14ac:dyDescent="0.55000000000000004">
      <c r="B36" s="57" t="s">
        <v>2</v>
      </c>
      <c r="C36" s="53"/>
      <c r="E36" s="28"/>
      <c r="F36" s="29"/>
      <c r="G36" s="30"/>
      <c r="H36" s="30"/>
      <c r="I36" s="31"/>
      <c r="K36" s="37" t="str">
        <f>IF(L36="","","2.")</f>
        <v/>
      </c>
      <c r="L36" s="103" t="str">
        <f>IF(AND(M20=0,Sheet2!A2="A"),"",IF(Sheet2!A1=0,"",IF(OR(Sheet2!A1=1,Sheet2!A1=2,Sheet2!A1=3),"บันทึกต้นทุนบริการปัจจุบัน (Service Cost) ดอกเบี้ยสุทธิ (Interest Cost) และผลประโยชน์โดยตรงของนายจ้าง (Benefit Payment) ตามผลการประมาณการแบบ 400 วันตั้งแต่ไตรมาสที่ "&amp;Sheet2!A1+1,"บันทึกต้นทุนบริการปัจจุบัน (Service Cost) ดอกเบี้ยสุทธิ (Interest Cost) และผลประโยชน์โดยตรงของนายจ้าง (Benefit Payment) ตามผลการประมาณการแบบ 400 ในปี "&amp;RIGHT(F33,4)+1&amp;" เป็นต้นไป (ไม่ได้แสดงในตารางนี้)")))</f>
        <v/>
      </c>
      <c r="M36" s="103"/>
      <c r="N36" s="103"/>
      <c r="O36" s="103"/>
      <c r="P36" s="103"/>
      <c r="Q36" s="103"/>
      <c r="R36" s="103"/>
    </row>
    <row r="37" spans="2:18" ht="19.95" customHeight="1" x14ac:dyDescent="0.55000000000000004">
      <c r="B37" s="58" t="s">
        <v>19</v>
      </c>
      <c r="C37" s="59" t="s">
        <v>3</v>
      </c>
      <c r="E37" s="24">
        <f>IF(AND(M20=0,Sheet2!A2="A"),"",E19)</f>
        <v>282213.69</v>
      </c>
      <c r="F37" s="71">
        <f>IF(AND(M20=0,Sheet2!A2="A"),"",F19)</f>
        <v>146768.3454227341</v>
      </c>
      <c r="G37" s="26">
        <f>IF(AND(M20=0,Sheet2!A2="A"),"",IF(OR(Sheet2!$A$1=1),O19,G19))</f>
        <v>146768.3454227341</v>
      </c>
      <c r="H37" s="26">
        <f>IF(AND(M20=0,Sheet2!A2="A"),"",IF(OR(Sheet2!$A$1=1,Sheet2!$A$1=2),P19,H19))</f>
        <v>146768.3454227341</v>
      </c>
      <c r="I37" s="27">
        <f>IF(AND(M20=0,Sheet2!A2="A"),"",IF(OR(Sheet2!$A$1=1,Sheet2!$A$1=2,Sheet2!$A$1=3),Q19,I19))</f>
        <v>146768.3454227341</v>
      </c>
      <c r="K37" s="38"/>
      <c r="L37" s="103"/>
      <c r="M37" s="103"/>
      <c r="N37" s="103"/>
      <c r="O37" s="103"/>
      <c r="P37" s="103"/>
      <c r="Q37" s="103"/>
      <c r="R37" s="103"/>
    </row>
    <row r="38" spans="2:18" ht="19.95" customHeight="1" x14ac:dyDescent="0.55000000000000004">
      <c r="B38" s="60" t="s">
        <v>19</v>
      </c>
      <c r="C38" s="53" t="s">
        <v>4</v>
      </c>
      <c r="E38" s="32">
        <f>IF(AND(M20=0,Sheet2!A2="A"),"",E20)</f>
        <v>0</v>
      </c>
      <c r="F38" s="39">
        <f>IF(AND(M20=0,Sheet2!A2="A"),"",IF(Sheet2!A2="A",IF(Sheet2!A1=1,M20+(N19+N21)-(F19+F21),0),IF(Sheet2!A1=1,(N27-F27)-(N26-F26),0)))</f>
        <v>0</v>
      </c>
      <c r="G38" s="40">
        <f>IF(AND(M20=0,Sheet2!A2="A"),"",IF(Sheet2!A2="A",IF(Sheet2!$A$1=2,M20+(N19+O19+N21+O21)-(F19+G19+F21+G21),0),IF(Sheet2!A1=2,(O27-G27)-(N26-F26)-(O26-G26),0)))</f>
        <v>0</v>
      </c>
      <c r="H38" s="40">
        <f>IF(AND(M20=0,Sheet2!A2="A"),"",IF(Sheet2!A2="A",IF(Sheet2!$A$1=3,M20+(N19+O19+P19+N21+O21+P21)-(F19+G19+H19+F21+G21+H21),0),IF(Sheet2!A1=3,(P27-H27)-(N26-F26)-(O26-G26)-(P26-H26),0)))</f>
        <v>0</v>
      </c>
      <c r="I38" s="41">
        <f>IF(AND(M20=0,Sheet2!A2="A"),"",IF(Sheet2!A2="A",IF(Sheet2!$A$1=4,M20+(N19+O19+P19+N21+O21+P21+Q19+Q21)-(F19+G19+H19+F21+G21+H21+I19+I21),0),IF(Sheet2!A1=4,(Q27-I27)-(N26-F26)-(O26-G26)-(P26-H26)-(Q26-I26),0)))</f>
        <v>0</v>
      </c>
      <c r="K38" s="23"/>
      <c r="L38" s="23"/>
      <c r="M38" s="23"/>
      <c r="N38" s="23"/>
      <c r="O38" s="23"/>
      <c r="P38" s="23"/>
      <c r="Q38" s="23"/>
      <c r="R38" s="23"/>
    </row>
    <row r="39" spans="2:18" ht="19.95" customHeight="1" x14ac:dyDescent="0.55000000000000004">
      <c r="B39" s="61" t="s">
        <v>5</v>
      </c>
      <c r="C39" s="59"/>
      <c r="E39" s="24">
        <f>IF(AND(M20=0,Sheet2!A2="A"),"",E21)</f>
        <v>67642.28</v>
      </c>
      <c r="F39" s="25">
        <f>IF(AND(M20=0,Sheet2!A2="A"),"",F21)</f>
        <v>54485.146676240714</v>
      </c>
      <c r="G39" s="26">
        <f>IF(AND(M20=0,Sheet2!A2="A"),"",IF(OR(Sheet2!$A$1=1),O21,G21))</f>
        <v>54485.146676240714</v>
      </c>
      <c r="H39" s="26">
        <f>IF(AND(M20=0,Sheet2!A2="A"),"",IF(OR(Sheet2!$A$1=1,Sheet2!$A$1=2),P21,H21))</f>
        <v>54485.146676240714</v>
      </c>
      <c r="I39" s="27">
        <f>IF(AND(M20=0,Sheet2!A2="A"),"",IF(OR(Sheet2!$A$1=1,Sheet2!$A$1=2,Sheet2!$A$1=3),Q21,I21))</f>
        <v>54485.146676240714</v>
      </c>
      <c r="K39" s="37" t="str">
        <f>IF(L39="","","3.")</f>
        <v/>
      </c>
      <c r="L39" s="103" t="str">
        <f>IF(AND(M20=0,Sheet2!A2="A"),"",IF(Sheet2!A1=0,"",IF(Sheet2!A2="A","บันทึกต้นทุนบริการในอดีต (Past Service Cost) จำนวน "&amp;TEXT(INDEX(F38:I38,Sheet2!A1),"#,###.00")&amp;" บาท ณ สิ้นไตรมาสที่ "&amp;Sheet2!A1&amp;" ซึ่งคิดจากต้นทุนบริการในอดีตตามการคำนวณแบบ 400 วัน บวกด้วยส่วนต่างของค่าใช้จ่ายในไตรมาสที่ "&amp;IF(Sheet2!A1=1,"1",IF(Sheet2!A1=2,"1 - 2",IF(Sheet2!A1=3,"1 - 3","1 - 4"))),"บันทึกต้นทุนบริการในอดีต (Past Service Cost) จำนวน "&amp;TEXT(INDEX(F38:I38,Sheet2!A1),"#,###.00")&amp;" บาท ณ สิ้นไตรมาสที่ "&amp;Sheet2!A1&amp;" ซึ่งคิดจากต้นทุนบริการในอดีตตามการคำนวณแบบ 400 วัน บวกด้วยส่วนต่างของค่าใช้จ่ายในไตรมาสที่ "&amp;IF(Sheet2!A1=1,"1",IF(Sheet2!A1=2,"1 - 2",IF(Sheet2!A1=3,"1 - 3","1 - 4")))&amp;" และส่วนต่างของ Actuarial Gains and Losses")))</f>
        <v/>
      </c>
      <c r="M39" s="103"/>
      <c r="N39" s="103"/>
      <c r="O39" s="103"/>
      <c r="P39" s="103"/>
      <c r="Q39" s="103"/>
      <c r="R39" s="103"/>
    </row>
    <row r="40" spans="2:18" ht="19.95" customHeight="1" x14ac:dyDescent="0.55000000000000004">
      <c r="B40" s="57" t="s">
        <v>6</v>
      </c>
      <c r="C40" s="53"/>
      <c r="E40" s="28"/>
      <c r="F40" s="29"/>
      <c r="G40" s="30"/>
      <c r="H40" s="30"/>
      <c r="I40" s="31"/>
      <c r="K40" s="23"/>
      <c r="L40" s="103"/>
      <c r="M40" s="103"/>
      <c r="N40" s="103"/>
      <c r="O40" s="103"/>
      <c r="P40" s="103"/>
      <c r="Q40" s="103"/>
      <c r="R40" s="103"/>
    </row>
    <row r="41" spans="2:18" ht="19.95" customHeight="1" x14ac:dyDescent="0.55000000000000004">
      <c r="B41" s="62" t="s">
        <v>19</v>
      </c>
      <c r="C41" s="59" t="s">
        <v>7</v>
      </c>
      <c r="E41" s="24">
        <f>IF(AND(M20=0,Sheet2!A2="A"),"",E23)</f>
        <v>52765.68376879883</v>
      </c>
      <c r="F41" s="25">
        <f>IF(AND(M20=0,Sheet2!A2="A"),"",IF(Sheet2!A2="A",IF(Sheet2!$A$1=1,$M$23-$E$23,0),0))</f>
        <v>0</v>
      </c>
      <c r="G41" s="26">
        <f>IF(AND(M20=0,Sheet2!A2="A"),"",IF(Sheet2!A2="A",IF(Sheet2!$A$1=2,$M$23-$E$23,0),0))</f>
        <v>0</v>
      </c>
      <c r="H41" s="26">
        <f>IF(AND(M20=0,Sheet2!A2="A"),"",IF(Sheet2!A2="A",IF(Sheet2!$A$1=3,$M$23-$E$23,0),0))</f>
        <v>0</v>
      </c>
      <c r="I41" s="27">
        <f>IF(AND(M20=0,Sheet2!A2="A"),"",IF(Sheet2!A2="A",IF(Sheet2!$A$1=4,$M$23-$E$23,0),0))</f>
        <v>0</v>
      </c>
      <c r="K41" s="23"/>
      <c r="L41" s="23"/>
      <c r="M41" s="23"/>
      <c r="N41" s="23"/>
      <c r="O41" s="23"/>
      <c r="P41" s="23"/>
      <c r="Q41" s="23"/>
      <c r="R41" s="23"/>
    </row>
    <row r="42" spans="2:18" ht="19.95" customHeight="1" x14ac:dyDescent="0.55000000000000004">
      <c r="B42" s="60" t="s">
        <v>19</v>
      </c>
      <c r="C42" s="53" t="s">
        <v>8</v>
      </c>
      <c r="E42" s="32">
        <f>IF(AND(M20=0,Sheet2!A2="A"),"",E24)</f>
        <v>-337107.10549750744</v>
      </c>
      <c r="F42" s="29">
        <f>IF(AND(M20=0,Sheet2!A2="A"),"",IF(Sheet2!A2="A",IF(Sheet2!$A$1=1,$M$24-$E$24,0),0))</f>
        <v>0</v>
      </c>
      <c r="G42" s="30">
        <f>IF(AND(M20=0,Sheet2!A2="A"),"",IF(Sheet2!A2="A",IF(Sheet2!$A$1=2,$M$24-$E$24,0),0))</f>
        <v>0</v>
      </c>
      <c r="H42" s="30">
        <f>IF(AND(M20=0,Sheet2!A2="A"),"",IF(Sheet2!A2="A",IF(Sheet2!$A$1=3,$M$24-$E$24,0),0))</f>
        <v>0</v>
      </c>
      <c r="I42" s="31">
        <f>IF(AND(M20=0,Sheet2!A2="A"),"",IF(Sheet2!A2="A",IF(Sheet2!$A$1=4,$M$24-$E$24,0),0))</f>
        <v>0</v>
      </c>
      <c r="K42" s="37" t="str">
        <f>IF(L42="","","4.")</f>
        <v/>
      </c>
      <c r="L42" s="103" t="str">
        <f>IF(AND(M20=0,Sheet2!A2="A"),"",IF(Sheet2!A2="A",IF(Sheet2!A1=0,"","ผลกระทบจากการปรับปรุงค่าประสบการณ์ (Experience Adjustment) จะเท่ากับ "&amp;TEXT(INDEX(F43:I43,Sheet2!A1),"#,###.00")&amp;" บาทซึ่งคิดจากส่วนต่างของการคำนวณแบบ 300 และ 400 วัน โดยบันทึก ณ สิ้นไตรมาสที่ "&amp;Sheet2!A1),IF(Sheet2!A1=0,"",IF(OR(I45=Q27,I45=I27),"เนื่องจากการจ่ายผลประโยชน์โดยตรงของนายจ้างของการคำนวณตามกฎหมาย 300 วัน และ 400 ในไตรมาสที่ "&amp;IF(Sheet2!A1=1,"1",IF(Sheet2!A1=2,"1 - 2",IF(Sheet2!A1=3,"1 - 3","1 - 4")))&amp;" เท่ากัน สามารถคิดต้นทุนบริการในอดีตได้จากส่วนของภาระผูกพัน ณ ไตรมาสที่ "&amp;Sheet2!A1&amp;" ได้เช่นกัน","ในกรณีที่การจ่ายผลประโยชน์โดยตรงของนายจ้างของการคำนวณตามกฎหมาย 300 วัน และ 400 ในไตรมาสที่ "&amp;IF(Sheet2!A1=1,"1",IF(Sheet2!A1=2,"1 - 2",IF(Sheet2!A1=3,"1 - 3","1 - 4")))&amp;" เท่ากัน สามารถคิดต้นทุนบริการในอดีตได้จากส่วนของภาระผูกพัน ณ ไตรมาสที่ "&amp;Sheet2!A1&amp;" ได้เช่นกัน"))))</f>
        <v/>
      </c>
      <c r="M42" s="103"/>
      <c r="N42" s="103"/>
      <c r="O42" s="103"/>
      <c r="P42" s="103"/>
      <c r="Q42" s="103"/>
      <c r="R42" s="103"/>
    </row>
    <row r="43" spans="2:18" ht="19.95" customHeight="1" x14ac:dyDescent="0.55000000000000004">
      <c r="B43" s="62" t="s">
        <v>19</v>
      </c>
      <c r="C43" s="59" t="s">
        <v>9</v>
      </c>
      <c r="E43" s="24">
        <f>IF(AND(M20=0,Sheet2!A2="A"),"",E25)</f>
        <v>4721581.5502375439</v>
      </c>
      <c r="F43" s="25">
        <f>IF(AND(M20=0,Sheet2!A2="A"),"",IF(Sheet2!A2="A",IF(Sheet2!$A$1=1,$M$25-$E$25,0),0))</f>
        <v>0</v>
      </c>
      <c r="G43" s="26">
        <f>IF(AND(M20=0,Sheet2!A2="A"),"",IF(Sheet2!A2="A",IF(Sheet2!$A$1=2,$M$25-$E$25,0),0))</f>
        <v>0</v>
      </c>
      <c r="H43" s="26">
        <f>IF(AND(M20=0,Sheet2!A2="A"),"",IF(Sheet2!A2="A",IF(Sheet2!$A$1=3,$M$25-$E$25,0),0))</f>
        <v>0</v>
      </c>
      <c r="I43" s="27">
        <f>IF(AND(M20=0,Sheet2!A2="A"),"",IF(Sheet2!A2="A",IF(Sheet2!$A$1=4,$M$25-$E$25,0),0))</f>
        <v>0</v>
      </c>
      <c r="K43" s="23"/>
      <c r="L43" s="103"/>
      <c r="M43" s="103"/>
      <c r="N43" s="103"/>
      <c r="O43" s="103"/>
      <c r="P43" s="103"/>
      <c r="Q43" s="103"/>
      <c r="R43" s="103"/>
    </row>
    <row r="44" spans="2:18" ht="19.95" customHeight="1" x14ac:dyDescent="0.55000000000000004">
      <c r="B44" s="57" t="s">
        <v>10</v>
      </c>
      <c r="C44" s="53"/>
      <c r="E44" s="32">
        <f>IF(AND(M20=0,Sheet2!A2="A"),"",E26)</f>
        <v>-103776</v>
      </c>
      <c r="F44" s="29">
        <f>IF(AND(M20=0,Sheet2!A2="A"),"",F26)</f>
        <v>-100000</v>
      </c>
      <c r="G44" s="30">
        <f>IF(AND(M20=0,Sheet2!A2="A"),"",IF(OR(Sheet2!$A$1=1),O26,G26))</f>
        <v>0</v>
      </c>
      <c r="H44" s="30">
        <f>IF(AND(M20=0,Sheet2!A2="A"),"",IF(OR(Sheet2!$A$1=1,Sheet2!$A$1=2),P26,H26))</f>
        <v>-100000</v>
      </c>
      <c r="I44" s="31">
        <f>IF(AND(M20=0,Sheet2!A2="A"),"",IF(OR(Sheet2!$A$1=1,Sheet2!$A$1=2,Sheet2!$A$1=3),Q26,I26))</f>
        <v>0</v>
      </c>
      <c r="K44" s="23"/>
      <c r="L44" s="42"/>
      <c r="M44" s="42"/>
      <c r="N44" s="42"/>
      <c r="O44" s="42"/>
      <c r="P44" s="42"/>
      <c r="Q44" s="42"/>
      <c r="R44" s="42"/>
    </row>
    <row r="45" spans="2:18" ht="19.95" customHeight="1" thickBot="1" x14ac:dyDescent="0.6">
      <c r="B45" s="63" t="s">
        <v>11</v>
      </c>
      <c r="C45" s="64"/>
      <c r="E45" s="33">
        <f>IF(AND(M20=0,Sheet2!A2="A"),"",E27)</f>
        <v>6784237.718508835</v>
      </c>
      <c r="F45" s="34">
        <f>IF(AND(M20=0,Sheet2!A2="A"),"",SUM(F35:F44))</f>
        <v>6885491.2106078099</v>
      </c>
      <c r="G45" s="35">
        <f>IF(AND(M20=0,Sheet2!A2="A"),"",SUM(G35:G44))</f>
        <v>7086744.7027067849</v>
      </c>
      <c r="H45" s="35">
        <f>IF(AND(M20=0,Sheet2!A2="A"),"",SUM(H35:H44))</f>
        <v>7187998.1948057599</v>
      </c>
      <c r="I45" s="36">
        <f>IF(AND(M20=0,Sheet2!A2="A"),"",SUM(I35:I44))</f>
        <v>7389251.6869047349</v>
      </c>
      <c r="K45" s="37" t="str">
        <f>IF(L45="","","5.")</f>
        <v/>
      </c>
      <c r="L45" s="104" t="str">
        <f>IF(AND(M20=0,Sheet2!A2="A"),"",IF(Sheet2!A2="A",IF(Sheet2!A1=0,"",IF(INDEX(F42:I42,Sheet2!A1)=0,"ไม่มีผลกระทบจากการเปลี่ยนแปลงสมมติฐานด้านการเงิน (Financial Assumption Change) เพราะคำนวณโดยใช้สมมติฐานด้านการเงินเดียวกันทั้งแบบ 300 และ 400 วัน","มีผลกระทบจากการเปลี่ยนแปลงสมมติฐานด้านการเงิน (Financial Assumption Change) เท่ากับ "&amp;TEXT(INDEX(F42:I42,Sheet2!A1),"#,###.00")&amp;" บาท คิดจากส่วนต่างของการคำนวณแบบ 300 และ 400 วัน และบันทึก ณ สิ้นไตรมาสที่ "&amp;Sheet2!A1)),IF(OR(I45=Q27,I45=I27),"","ภาระผูกพัน ณ สิ้นปีงบประมาณ "&amp;RIGHT(F33,4)&amp;" จะไม่เท่ากับภาระผูกพันจากการคำนวณแบบ 400 วัน เนื่องจากส่วนต่างของการจ่ายผลประโยชน์โดยตรงของนายจ้าง ของไตรมาสที่ "&amp;IF(Sheet2!A1=1,"1",IF(Sheet2!A1=2,"1 - 2",IF(Sheet2!A1=3,"1 - 3","1 - 4"))))))</f>
        <v/>
      </c>
      <c r="M45" s="104"/>
      <c r="N45" s="104"/>
      <c r="O45" s="104"/>
      <c r="P45" s="104"/>
      <c r="Q45" s="104"/>
      <c r="R45" s="104"/>
    </row>
    <row r="46" spans="2:18" ht="19.95" customHeight="1" x14ac:dyDescent="0.55000000000000004">
      <c r="I46" s="65"/>
      <c r="K46" s="23"/>
      <c r="L46" s="104"/>
      <c r="M46" s="104"/>
      <c r="N46" s="104"/>
      <c r="O46" s="104"/>
      <c r="P46" s="104"/>
      <c r="Q46" s="104"/>
      <c r="R46" s="104"/>
    </row>
    <row r="47" spans="2:18" ht="19.95" customHeight="1" x14ac:dyDescent="0.55000000000000004">
      <c r="K47" s="23"/>
      <c r="L47" s="23"/>
      <c r="M47" s="43"/>
      <c r="N47" s="43"/>
      <c r="O47" s="43"/>
      <c r="P47" s="43"/>
      <c r="Q47" s="43"/>
      <c r="R47" s="43"/>
    </row>
    <row r="48" spans="2:18" ht="19.95" customHeight="1" x14ac:dyDescent="0.55000000000000004">
      <c r="K48" s="37" t="str">
        <f>IF(L48="","","6.")</f>
        <v/>
      </c>
      <c r="L48" s="103" t="str">
        <f>IF(AND(M20=0,Sheet2!A2="A"),"",IF(Sheet2!A2="A",IF(Sheet2!A1=0,"",IF(INDEX(F41:I41,Sheet2!A1)=0,"ไม่มีผลกระทบจากการเปลี่ยนแปลงสมมติฐานด้านประชากรศาสตร์ (Demographic Assumption Change) เพราะคำนวณโดยใช้สมมติฐานด้านประชากรศาสตร์เดียวกันทั้งแบบ 300 และ 400 วัน","มีผลกระทบจากการเปลี่ยนแปลงสมมติฐานด้านประชากรศาสตร์ (Demographic Assumption Change) เท่ากับ "&amp;TEXT(INDEX(F41:I41,Sheet2!A1),"#,###.00")&amp;" บาท คิดจากส่วนต่างของการคำนวณแบบ 300 และ 400 วัน และบันทึก ณ สิ้นไตรมาสที่ "&amp;Sheet2!A1)),""))</f>
        <v/>
      </c>
      <c r="M48" s="103"/>
      <c r="N48" s="103"/>
      <c r="O48" s="103"/>
      <c r="P48" s="103"/>
      <c r="Q48" s="103"/>
      <c r="R48" s="103"/>
    </row>
    <row r="49" spans="6:18" ht="19.95" customHeight="1" x14ac:dyDescent="0.55000000000000004">
      <c r="I49" s="65"/>
      <c r="K49" s="23"/>
      <c r="L49" s="103"/>
      <c r="M49" s="103"/>
      <c r="N49" s="103"/>
      <c r="O49" s="103"/>
      <c r="P49" s="103"/>
      <c r="Q49" s="103"/>
      <c r="R49" s="103"/>
    </row>
    <row r="50" spans="6:18" ht="19.95" customHeight="1" x14ac:dyDescent="0.55000000000000004">
      <c r="L50" s="23"/>
      <c r="M50" s="23"/>
      <c r="N50" s="23"/>
      <c r="O50" s="23"/>
      <c r="P50" s="23"/>
      <c r="Q50" s="23"/>
      <c r="R50" s="23"/>
    </row>
    <row r="51" spans="6:18" ht="19.95" customHeight="1" x14ac:dyDescent="0.55000000000000004">
      <c r="F51" s="65"/>
      <c r="K51" s="37" t="str">
        <f>IF(L51="","","7.")</f>
        <v/>
      </c>
      <c r="L51" s="94" t="str">
        <f>IF(AND(M20=0,Sheet2!A2="A"),"",IF(Sheet2!A2="A",IF(OR(I45=Q27,I45=I27),"","ภาระผูกพัน ณ สิ้นปีงบประมาณ 2561 จะไม่เท่ากับภาระผูกพันจากการคำนวณแบบ 400 วัน เนื่องจากส่วนต่างของการจ่ายผลประโยชน์โดยตรงของนายจ้าง ของไตรมาสที่ "&amp;IF(Sheet2!A1=1,"1",IF(Sheet2!A1=2,"1 - 2",IF(Sheet2!A1=3,"1 - 3",IF(Sheet2!A1=4,"1 - 4",0))))),""))</f>
        <v/>
      </c>
      <c r="M51" s="94"/>
      <c r="N51" s="94"/>
      <c r="O51" s="94"/>
      <c r="P51" s="94"/>
      <c r="Q51" s="94"/>
      <c r="R51" s="94"/>
    </row>
    <row r="52" spans="6:18" ht="19.95" customHeight="1" x14ac:dyDescent="0.55000000000000004">
      <c r="F52" s="65"/>
      <c r="L52" s="94"/>
      <c r="M52" s="94"/>
      <c r="N52" s="94"/>
      <c r="O52" s="94"/>
      <c r="P52" s="94"/>
      <c r="Q52" s="94"/>
      <c r="R52" s="94"/>
    </row>
    <row r="69" spans="12:19" ht="19.95" customHeight="1" x14ac:dyDescent="0.55000000000000004">
      <c r="L69" s="75"/>
      <c r="M69" s="74"/>
      <c r="N69" s="74"/>
      <c r="O69" s="74"/>
      <c r="P69" s="74"/>
      <c r="Q69" s="74"/>
      <c r="R69" s="74"/>
      <c r="S69" s="74"/>
    </row>
    <row r="70" spans="12:19" ht="19.95" customHeight="1" x14ac:dyDescent="0.55000000000000004">
      <c r="L70" s="74"/>
      <c r="M70" s="74"/>
      <c r="N70" s="74"/>
      <c r="O70" s="74"/>
      <c r="P70" s="74"/>
      <c r="Q70" s="74"/>
      <c r="R70" s="74"/>
      <c r="S70" s="74"/>
    </row>
    <row r="71" spans="12:19" ht="19.95" customHeight="1" x14ac:dyDescent="0.55000000000000004">
      <c r="L71" s="74"/>
      <c r="M71" s="74"/>
      <c r="N71" s="74"/>
      <c r="O71" s="74"/>
      <c r="P71" s="74"/>
      <c r="Q71" s="74"/>
      <c r="R71" s="74"/>
      <c r="S71" s="74"/>
    </row>
    <row r="72" spans="12:19" ht="19.95" customHeight="1" x14ac:dyDescent="0.55000000000000004">
      <c r="L72" s="74"/>
      <c r="M72" s="74"/>
      <c r="N72" s="74"/>
      <c r="O72" s="74"/>
      <c r="P72" s="74"/>
      <c r="Q72" s="74"/>
      <c r="R72" s="74"/>
      <c r="S72" s="74"/>
    </row>
    <row r="73" spans="12:19" ht="19.95" customHeight="1" x14ac:dyDescent="0.55000000000000004">
      <c r="L73" s="74"/>
      <c r="M73" s="74"/>
      <c r="N73" s="74"/>
      <c r="O73" s="74"/>
      <c r="P73" s="74"/>
      <c r="Q73" s="74"/>
      <c r="R73" s="74"/>
      <c r="S73" s="74"/>
    </row>
    <row r="74" spans="12:19" ht="19.95" customHeight="1" x14ac:dyDescent="0.55000000000000004">
      <c r="L74" s="74"/>
      <c r="M74" s="74"/>
      <c r="N74" s="74"/>
      <c r="O74" s="74"/>
      <c r="P74" s="74"/>
      <c r="Q74" s="74"/>
      <c r="R74" s="74"/>
      <c r="S74" s="74"/>
    </row>
    <row r="75" spans="12:19" ht="19.95" customHeight="1" x14ac:dyDescent="0.55000000000000004">
      <c r="L75" s="74"/>
      <c r="M75" s="74"/>
      <c r="N75" s="74"/>
      <c r="O75" s="74"/>
      <c r="P75" s="74"/>
      <c r="Q75" s="74"/>
      <c r="R75" s="74"/>
      <c r="S75" s="74"/>
    </row>
    <row r="76" spans="12:19" ht="19.95" customHeight="1" x14ac:dyDescent="0.55000000000000004">
      <c r="L76" s="74"/>
      <c r="M76" s="74"/>
      <c r="N76" s="74"/>
      <c r="O76" s="74"/>
      <c r="P76" s="74"/>
      <c r="Q76" s="74"/>
      <c r="R76" s="74"/>
      <c r="S76" s="74"/>
    </row>
    <row r="77" spans="12:19" ht="19.95" customHeight="1" x14ac:dyDescent="0.55000000000000004">
      <c r="L77" s="74"/>
      <c r="M77" s="74"/>
      <c r="N77" s="74"/>
      <c r="O77" s="74"/>
      <c r="P77" s="74"/>
      <c r="Q77" s="74"/>
      <c r="R77" s="74"/>
      <c r="S77" s="74"/>
    </row>
    <row r="78" spans="12:19" ht="19.95" customHeight="1" x14ac:dyDescent="0.55000000000000004">
      <c r="L78" s="74"/>
      <c r="M78" s="74"/>
      <c r="N78" s="74"/>
      <c r="O78" s="74"/>
      <c r="P78" s="74"/>
      <c r="Q78" s="74"/>
      <c r="R78" s="74"/>
      <c r="S78" s="74"/>
    </row>
    <row r="79" spans="12:19" ht="19.95" customHeight="1" x14ac:dyDescent="0.55000000000000004">
      <c r="L79" s="74"/>
      <c r="M79" s="74"/>
      <c r="N79" s="74"/>
      <c r="O79" s="74"/>
      <c r="P79" s="74"/>
      <c r="Q79" s="74"/>
      <c r="R79" s="74"/>
      <c r="S79" s="74"/>
    </row>
    <row r="80" spans="12:19" ht="19.95" customHeight="1" x14ac:dyDescent="0.55000000000000004">
      <c r="L80" s="74"/>
      <c r="M80" s="74"/>
      <c r="N80" s="74"/>
      <c r="O80" s="74"/>
      <c r="P80" s="74"/>
      <c r="Q80" s="74"/>
      <c r="R80" s="74"/>
      <c r="S80" s="74"/>
    </row>
    <row r="81" spans="12:19" ht="19.95" customHeight="1" x14ac:dyDescent="0.55000000000000004">
      <c r="L81" s="74"/>
      <c r="M81" s="74"/>
      <c r="N81" s="74"/>
      <c r="O81" s="74"/>
      <c r="P81" s="74"/>
      <c r="Q81" s="74"/>
      <c r="R81" s="74"/>
      <c r="S81" s="74"/>
    </row>
    <row r="82" spans="12:19" ht="19.95" customHeight="1" x14ac:dyDescent="0.55000000000000004">
      <c r="L82" s="74"/>
      <c r="M82" s="74"/>
      <c r="N82" s="74"/>
      <c r="O82" s="74"/>
      <c r="P82" s="74"/>
      <c r="Q82" s="74"/>
      <c r="R82" s="74"/>
      <c r="S82" s="74"/>
    </row>
    <row r="83" spans="12:19" ht="19.95" customHeight="1" x14ac:dyDescent="0.55000000000000004">
      <c r="L83" s="74"/>
      <c r="M83" s="74"/>
      <c r="N83" s="74"/>
      <c r="O83" s="74"/>
      <c r="P83" s="74"/>
      <c r="Q83" s="74"/>
      <c r="R83" s="74"/>
      <c r="S83" s="74"/>
    </row>
    <row r="84" spans="12:19" ht="19.95" customHeight="1" x14ac:dyDescent="0.55000000000000004">
      <c r="L84" s="74"/>
      <c r="M84" s="74"/>
      <c r="N84" s="74"/>
      <c r="O84" s="74"/>
      <c r="P84" s="74"/>
      <c r="Q84" s="74"/>
      <c r="R84" s="74"/>
      <c r="S84" s="74"/>
    </row>
    <row r="85" spans="12:19" ht="19.95" customHeight="1" x14ac:dyDescent="0.55000000000000004">
      <c r="L85" s="74"/>
      <c r="M85" s="74"/>
      <c r="N85" s="74"/>
      <c r="O85" s="74"/>
      <c r="P85" s="74"/>
      <c r="Q85" s="74"/>
      <c r="R85" s="74"/>
      <c r="S85" s="74"/>
    </row>
    <row r="86" spans="12:19" ht="19.95" customHeight="1" x14ac:dyDescent="0.55000000000000004">
      <c r="L86" s="74"/>
      <c r="M86" s="74"/>
      <c r="N86" s="74"/>
      <c r="O86" s="74"/>
      <c r="P86" s="74"/>
      <c r="Q86" s="74"/>
      <c r="R86" s="74"/>
      <c r="S86" s="74"/>
    </row>
    <row r="87" spans="12:19" ht="19.95" customHeight="1" x14ac:dyDescent="0.55000000000000004">
      <c r="L87" s="74"/>
      <c r="M87" s="74"/>
      <c r="N87" s="74"/>
      <c r="O87" s="74"/>
      <c r="P87" s="74"/>
      <c r="Q87" s="74"/>
      <c r="R87" s="74"/>
      <c r="S87" s="74"/>
    </row>
    <row r="88" spans="12:19" ht="19.95" customHeight="1" x14ac:dyDescent="0.55000000000000004">
      <c r="L88" s="74"/>
      <c r="M88" s="74"/>
      <c r="N88" s="74"/>
      <c r="O88" s="74"/>
      <c r="P88" s="74"/>
      <c r="Q88" s="74"/>
      <c r="R88" s="74"/>
      <c r="S88" s="74"/>
    </row>
    <row r="89" spans="12:19" ht="19.95" customHeight="1" x14ac:dyDescent="0.55000000000000004">
      <c r="L89" s="74"/>
      <c r="M89" s="74"/>
      <c r="N89" s="74"/>
      <c r="O89" s="74"/>
      <c r="P89" s="74"/>
      <c r="Q89" s="74"/>
      <c r="R89" s="74"/>
      <c r="S89" s="74"/>
    </row>
    <row r="90" spans="12:19" ht="19.95" customHeight="1" x14ac:dyDescent="0.55000000000000004">
      <c r="L90" s="74"/>
      <c r="M90" s="74"/>
      <c r="N90" s="74"/>
      <c r="O90" s="74"/>
      <c r="P90" s="74"/>
      <c r="Q90" s="74"/>
      <c r="R90" s="74"/>
      <c r="S90" s="74"/>
    </row>
    <row r="91" spans="12:19" ht="19.95" customHeight="1" x14ac:dyDescent="0.55000000000000004">
      <c r="L91" s="74"/>
      <c r="M91" s="74"/>
      <c r="N91" s="74"/>
      <c r="O91" s="74"/>
      <c r="P91" s="74"/>
      <c r="Q91" s="74"/>
      <c r="R91" s="74"/>
      <c r="S91" s="74"/>
    </row>
    <row r="92" spans="12:19" ht="19.95" customHeight="1" x14ac:dyDescent="0.55000000000000004">
      <c r="L92" s="74"/>
      <c r="M92" s="74"/>
      <c r="N92" s="74"/>
      <c r="O92" s="74"/>
      <c r="P92" s="74"/>
      <c r="Q92" s="74"/>
      <c r="R92" s="74"/>
      <c r="S92" s="74"/>
    </row>
    <row r="93" spans="12:19" ht="19.95" customHeight="1" x14ac:dyDescent="0.55000000000000004">
      <c r="L93" s="74"/>
      <c r="M93" s="74"/>
      <c r="N93" s="74"/>
      <c r="O93" s="74"/>
      <c r="P93" s="74"/>
      <c r="Q93" s="74"/>
      <c r="R93" s="74"/>
      <c r="S93" s="74"/>
    </row>
    <row r="94" spans="12:19" ht="19.95" customHeight="1" x14ac:dyDescent="0.55000000000000004">
      <c r="L94" s="74"/>
      <c r="M94" s="74"/>
      <c r="N94" s="74"/>
      <c r="O94" s="74"/>
      <c r="P94" s="74"/>
      <c r="Q94" s="74"/>
      <c r="R94" s="74"/>
      <c r="S94" s="74"/>
    </row>
    <row r="95" spans="12:19" ht="19.95" customHeight="1" x14ac:dyDescent="0.55000000000000004">
      <c r="L95" s="74"/>
      <c r="M95" s="74"/>
      <c r="N95" s="74"/>
      <c r="O95" s="74"/>
      <c r="P95" s="74"/>
      <c r="Q95" s="74"/>
      <c r="R95" s="74"/>
      <c r="S95" s="74"/>
    </row>
    <row r="96" spans="12:19" ht="19.95" customHeight="1" x14ac:dyDescent="0.55000000000000004">
      <c r="L96" s="74"/>
      <c r="M96" s="74"/>
      <c r="N96" s="74"/>
      <c r="O96" s="74"/>
      <c r="P96" s="74"/>
      <c r="Q96" s="74"/>
      <c r="R96" s="74"/>
      <c r="S96" s="74"/>
    </row>
    <row r="97" spans="12:19" ht="19.95" customHeight="1" x14ac:dyDescent="0.55000000000000004">
      <c r="L97" s="74"/>
      <c r="M97" s="74"/>
      <c r="N97" s="74"/>
      <c r="O97" s="74"/>
      <c r="P97" s="74"/>
      <c r="Q97" s="74"/>
      <c r="R97" s="74"/>
      <c r="S97" s="74"/>
    </row>
    <row r="98" spans="12:19" ht="19.95" customHeight="1" x14ac:dyDescent="0.55000000000000004">
      <c r="L98" s="74"/>
      <c r="M98" s="74"/>
      <c r="N98" s="74"/>
      <c r="O98" s="74"/>
      <c r="P98" s="74"/>
      <c r="Q98" s="74"/>
      <c r="R98" s="74"/>
      <c r="S98" s="74"/>
    </row>
    <row r="99" spans="12:19" ht="19.95" customHeight="1" x14ac:dyDescent="0.55000000000000004">
      <c r="L99" s="74"/>
      <c r="M99" s="74"/>
      <c r="N99" s="74"/>
      <c r="O99" s="74"/>
      <c r="P99" s="74"/>
      <c r="Q99" s="74"/>
      <c r="R99" s="74"/>
      <c r="S99" s="74"/>
    </row>
  </sheetData>
  <sheetProtection password="B692" sheet="1" objects="1" scenarios="1"/>
  <mergeCells count="30">
    <mergeCell ref="A4:F4"/>
    <mergeCell ref="X5:AE5"/>
    <mergeCell ref="X7:AE9"/>
    <mergeCell ref="X29:AE30"/>
    <mergeCell ref="X17:AE22"/>
    <mergeCell ref="X23:AE28"/>
    <mergeCell ref="A11:F11"/>
    <mergeCell ref="X11:AE16"/>
    <mergeCell ref="A5:F5"/>
    <mergeCell ref="A7:F7"/>
    <mergeCell ref="A6:F6"/>
    <mergeCell ref="A8:F8"/>
    <mergeCell ref="A9:F9"/>
    <mergeCell ref="A10:F10"/>
    <mergeCell ref="L51:R52"/>
    <mergeCell ref="E15:E16"/>
    <mergeCell ref="E13:I13"/>
    <mergeCell ref="M13:Q13"/>
    <mergeCell ref="M15:M16"/>
    <mergeCell ref="E33:E34"/>
    <mergeCell ref="L48:R49"/>
    <mergeCell ref="L42:R43"/>
    <mergeCell ref="L45:R46"/>
    <mergeCell ref="B29:R29"/>
    <mergeCell ref="L36:R37"/>
    <mergeCell ref="L39:R40"/>
    <mergeCell ref="O30:P30"/>
    <mergeCell ref="L33:R34"/>
    <mergeCell ref="Q30:R30"/>
    <mergeCell ref="Q31:R31"/>
  </mergeCells>
  <conditionalFormatting sqref="F43:I43 F38:I38">
    <cfRule type="cellIs" dxfId="7" priority="18" operator="notEqual">
      <formula>0</formula>
    </cfRule>
  </conditionalFormatting>
  <conditionalFormatting sqref="F41:I42">
    <cfRule type="cellIs" dxfId="6" priority="9" operator="notEqual">
      <formula>0</formula>
    </cfRule>
  </conditionalFormatting>
  <conditionalFormatting sqref="G44">
    <cfRule type="cellIs" dxfId="5" priority="25" operator="equal">
      <formula>0</formula>
    </cfRule>
  </conditionalFormatting>
  <conditionalFormatting sqref="H44">
    <cfRule type="cellIs" dxfId="4" priority="27" operator="equal">
      <formula>0</formula>
    </cfRule>
  </conditionalFormatting>
  <conditionalFormatting sqref="I44">
    <cfRule type="cellIs" dxfId="3" priority="29" operator="equal">
      <formula>0</formula>
    </cfRule>
  </conditionalFormatting>
  <dataValidations count="2">
    <dataValidation type="list" allowBlank="1" showInputMessage="1" showErrorMessage="1" sqref="Q31" xr:uid="{F0EA4758-DDE9-4BEA-8705-BCDCDB794FC4}">
      <formula1>"วิธีที่ 1: รับรู้ผลกระทบใน P&amp;L และ OCI,วิธีที่ 2: รับรู้ผลกระทบทั้งหมดใน P&amp;L"</formula1>
    </dataValidation>
    <dataValidation type="list" showInputMessage="1" showErrorMessage="1" sqref="Q30:R30" xr:uid="{0DD793E1-2756-4948-8749-7B9D24B665E7}">
      <formula1>"ยังไม่ประกาศกฎหมาย 400 วัน,ไตรมาสที่ 1,ไตรมาสที่ 2,ไตรมาสที่ 3,ไตรมาสที่ 4"</formula1>
    </dataValidation>
  </dataValidations>
  <hyperlinks>
    <hyperlink ref="A7" location="LSP!R30" display="เลือกไตรมาสที่กฎหมาย 400 วันประกาศใช้ ในช่อง R30" xr:uid="{3EC3A494-B346-485B-84AF-2EB83F29E708}"/>
    <hyperlink ref="A8" location="LSP!R31" display="เลือกวิธีการบันทึกบัญชี ในช่อง R31 " xr:uid="{92F875F3-234B-4DD7-AD8B-453027D2CB37}"/>
    <hyperlink ref="A11" location="LSP!I45" display="ดูผลลัพธ์ได้ในช่อง E35:I45" xr:uid="{B2AB13AE-5145-4CC6-A2D0-8F870F63F48B}"/>
    <hyperlink ref="A9" location="LSP!X5" display="วิธีที่ 1: แบ่งผลกระทบเป็น 2 ส่วน โดยรับรู้ใน Past Service Cost และ Other Comprehensive Income" xr:uid="{47C99820-E289-4206-8FFF-4B565FFBC9B7}"/>
    <hyperlink ref="A5:F5" location="LSP!I27" display="1. กรอกผลการประมาณการตามกฎหมาย 300 วัน ในช่อง E17:I27" xr:uid="{1CB982D9-D6BE-405B-BBD2-F42301484113}"/>
    <hyperlink ref="A6" location="LSP!Q27" display="2. กรอกผลการประมาณการตามกฎหมาย 400 วัน ในช่อง M17:Q27" xr:uid="{B268709F-E12F-4B6A-A04C-4100A36EF50D}"/>
  </hyperlinks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00000000-000E-0000-0000-00000C000000}">
            <xm:f>IF(OR(Sheet2!$A$1=1),TRUE,FALSE)</xm:f>
            <x14:dxf>
              <font>
                <color rgb="FFFF0000"/>
              </font>
            </x14:dxf>
          </x14:cfRule>
          <xm:sqref>G37 G39 G44</xm:sqref>
        </x14:conditionalFormatting>
        <x14:conditionalFormatting xmlns:xm="http://schemas.microsoft.com/office/excel/2006/main">
          <x14:cfRule type="expression" priority="33" id="{00000000-000E-0000-0000-00000B000000}">
            <xm:f>IF(OR(Sheet2!$A$1=1,Sheet2!$A$1=2),TRUE,FALSE)</xm:f>
            <x14:dxf>
              <font>
                <color rgb="FFFF0000"/>
              </font>
            </x14:dxf>
          </x14:cfRule>
          <xm:sqref>H37 H39 H44</xm:sqref>
        </x14:conditionalFormatting>
        <x14:conditionalFormatting xmlns:xm="http://schemas.microsoft.com/office/excel/2006/main">
          <x14:cfRule type="expression" priority="35" id="{00000000-000E-0000-0000-00000A000000}">
            <xm:f>IF(OR(Sheet2!$A$1=1,Sheet2!$A$1=2,Sheet2!$A$1=3),TRUE,FALSE)</xm:f>
            <x14:dxf>
              <font>
                <color rgb="FFFF0000"/>
              </font>
            </x14:dxf>
          </x14:cfRule>
          <xm:sqref>I37 I39 I44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FACE-14AC-4F18-AF16-7A58CFD0B2EE}">
  <dimension ref="A1:L14"/>
  <sheetViews>
    <sheetView workbookViewId="0">
      <selection activeCell="I17" sqref="I17"/>
    </sheetView>
  </sheetViews>
  <sheetFormatPr defaultRowHeight="15" customHeight="1" x14ac:dyDescent="0.25"/>
  <cols>
    <col min="1" max="4" width="8.796875" style="91"/>
    <col min="5" max="5" width="8.796875" style="91" customWidth="1"/>
    <col min="6" max="16384" width="8.796875" style="91"/>
  </cols>
  <sheetData>
    <row r="1" spans="1:12" ht="15" customHeight="1" x14ac:dyDescent="0.2">
      <c r="A1" s="89">
        <f>IF(LSP!Q30=Sheet2!B1,1,IF(LSP!Q30=Sheet2!C1,2,IF(LSP!Q30=Sheet2!D1,3,IF(LSP!Q30=Sheet2!E1,4,0))))</f>
        <v>0</v>
      </c>
      <c r="B1" s="90" t="s">
        <v>27</v>
      </c>
      <c r="C1" s="88" t="s">
        <v>28</v>
      </c>
      <c r="D1" s="88" t="s">
        <v>29</v>
      </c>
      <c r="E1" s="88" t="s">
        <v>30</v>
      </c>
    </row>
    <row r="2" spans="1:12" ht="15" customHeight="1" x14ac:dyDescent="0.2">
      <c r="A2" s="92" t="str">
        <f>IF(LSP!Q31=Sheet2!B2,"A","B")</f>
        <v>A</v>
      </c>
      <c r="B2" s="90" t="s">
        <v>25</v>
      </c>
    </row>
    <row r="3" spans="1:12" ht="15" customHeight="1" x14ac:dyDescent="0.2">
      <c r="A3" s="90"/>
      <c r="B3" s="90" t="s">
        <v>26</v>
      </c>
    </row>
    <row r="5" spans="1:12" ht="15" customHeight="1" x14ac:dyDescent="0.25">
      <c r="A5" s="91" t="s">
        <v>45</v>
      </c>
      <c r="E5" s="93"/>
      <c r="F5" s="93"/>
      <c r="G5" s="93"/>
      <c r="H5" s="93"/>
      <c r="I5" s="93"/>
      <c r="J5" s="93"/>
      <c r="K5" s="93"/>
      <c r="L5" s="93"/>
    </row>
    <row r="6" spans="1:12" ht="15" customHeight="1" x14ac:dyDescent="0.25">
      <c r="B6" s="91" t="s">
        <v>48</v>
      </c>
      <c r="C6" s="91" t="s">
        <v>47</v>
      </c>
      <c r="D6" s="91" t="s">
        <v>46</v>
      </c>
    </row>
    <row r="7" spans="1:12" ht="15" customHeight="1" x14ac:dyDescent="0.25">
      <c r="A7" s="91">
        <v>1</v>
      </c>
      <c r="B7" s="91" t="s">
        <v>51</v>
      </c>
      <c r="C7" s="91" t="s">
        <v>50</v>
      </c>
      <c r="D7" s="91" t="s">
        <v>49</v>
      </c>
    </row>
    <row r="8" spans="1:12" ht="15" customHeight="1" x14ac:dyDescent="0.25">
      <c r="A8" s="91">
        <v>2</v>
      </c>
      <c r="B8" s="91" t="s">
        <v>51</v>
      </c>
      <c r="C8" s="91" t="s">
        <v>50</v>
      </c>
      <c r="D8" s="91" t="s">
        <v>54</v>
      </c>
    </row>
    <row r="9" spans="1:12" ht="15" customHeight="1" x14ac:dyDescent="0.25">
      <c r="A9" s="91">
        <v>3</v>
      </c>
      <c r="B9" s="91" t="s">
        <v>51</v>
      </c>
      <c r="C9" s="91" t="s">
        <v>53</v>
      </c>
      <c r="D9" s="91" t="s">
        <v>49</v>
      </c>
    </row>
    <row r="10" spans="1:12" ht="15" customHeight="1" x14ac:dyDescent="0.25">
      <c r="A10" s="91">
        <v>4</v>
      </c>
      <c r="B10" s="91" t="s">
        <v>51</v>
      </c>
      <c r="C10" s="91" t="s">
        <v>53</v>
      </c>
      <c r="D10" s="91" t="s">
        <v>54</v>
      </c>
    </row>
    <row r="11" spans="1:12" ht="15" customHeight="1" x14ac:dyDescent="0.25">
      <c r="A11" s="91">
        <v>5</v>
      </c>
      <c r="B11" s="91" t="s">
        <v>52</v>
      </c>
      <c r="C11" s="91" t="s">
        <v>50</v>
      </c>
      <c r="D11" s="91" t="s">
        <v>49</v>
      </c>
    </row>
    <row r="12" spans="1:12" ht="15" customHeight="1" x14ac:dyDescent="0.25">
      <c r="A12" s="91">
        <v>6</v>
      </c>
      <c r="B12" s="91" t="s">
        <v>52</v>
      </c>
      <c r="C12" s="91" t="s">
        <v>50</v>
      </c>
      <c r="D12" s="91" t="s">
        <v>54</v>
      </c>
    </row>
    <row r="13" spans="1:12" ht="15" customHeight="1" x14ac:dyDescent="0.25">
      <c r="A13" s="91">
        <v>7</v>
      </c>
      <c r="B13" s="91" t="s">
        <v>52</v>
      </c>
      <c r="C13" s="91" t="s">
        <v>53</v>
      </c>
      <c r="D13" s="91" t="s">
        <v>49</v>
      </c>
    </row>
    <row r="14" spans="1:12" ht="15" customHeight="1" x14ac:dyDescent="0.25">
      <c r="A14" s="91">
        <v>8</v>
      </c>
      <c r="B14" s="91" t="s">
        <v>52</v>
      </c>
      <c r="C14" s="91" t="s">
        <v>53</v>
      </c>
      <c r="D14" s="91" t="s">
        <v>54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A9258-C545-41C7-8865-A3A8FD0E22DF}">
  <dimension ref="A1"/>
  <sheetViews>
    <sheetView workbookViewId="0">
      <selection activeCell="B27" sqref="B27"/>
    </sheetView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LSP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2018-06-22T07:31:20Z</dcterms:created>
  <dcterms:modified xsi:type="dcterms:W3CDTF">2019-04-26T04:31:26Z</dcterms:modified>
</cp:coreProperties>
</file>